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3\KAB-i 2023-2025\"/>
    </mc:Choice>
  </mc:AlternateContent>
  <bookViews>
    <workbookView xWindow="0" yWindow="0" windowWidth="28800" windowHeight="11835" firstSheet="1" activeTab="1"/>
  </bookViews>
  <sheets>
    <sheet name="Sheet1" sheetId="1" state="hidden" r:id="rId1"/>
    <sheet name="Buxheti 2024 202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C74" i="2"/>
  <c r="B74" i="2"/>
  <c r="B62" i="2"/>
  <c r="B64" i="2"/>
  <c r="B58" i="2"/>
  <c r="B61" i="2"/>
  <c r="B69" i="2"/>
  <c r="C67" i="2"/>
  <c r="C63" i="2"/>
  <c r="C60" i="2"/>
  <c r="B123" i="2" l="1"/>
  <c r="B136" i="2" l="1"/>
  <c r="B135" i="2"/>
  <c r="B116" i="2"/>
  <c r="B120" i="2"/>
  <c r="B122" i="2"/>
  <c r="B103" i="2"/>
  <c r="B77" i="2" l="1"/>
  <c r="F136" i="2" l="1"/>
  <c r="F134" i="2"/>
  <c r="F135" i="2"/>
  <c r="F132" i="2"/>
  <c r="F121" i="2"/>
  <c r="C127" i="2"/>
  <c r="L112" i="2"/>
  <c r="I112" i="2"/>
  <c r="E112" i="2"/>
  <c r="C92" i="2"/>
  <c r="H100" i="2"/>
  <c r="H86" i="2"/>
  <c r="F92" i="2"/>
  <c r="L83" i="2"/>
  <c r="E83" i="2"/>
  <c r="M112" i="2" l="1"/>
  <c r="I83" i="2"/>
  <c r="I71" i="2"/>
  <c r="L54" i="2"/>
  <c r="E54" i="2" l="1"/>
  <c r="L58" i="2" l="1"/>
  <c r="L62" i="2"/>
  <c r="L63" i="2"/>
  <c r="L65" i="2"/>
  <c r="L66" i="2"/>
  <c r="L67" i="2"/>
  <c r="L71" i="2"/>
  <c r="L72" i="2"/>
  <c r="L77" i="2"/>
  <c r="L136" i="2"/>
  <c r="I136" i="2"/>
  <c r="C136" i="2"/>
  <c r="E136" i="2" s="1"/>
  <c r="L135" i="2"/>
  <c r="I135" i="2"/>
  <c r="C135" i="2"/>
  <c r="E135" i="2" s="1"/>
  <c r="M135" i="2" s="1"/>
  <c r="L134" i="2"/>
  <c r="L133" i="2" s="1"/>
  <c r="I134" i="2"/>
  <c r="E134" i="2"/>
  <c r="K133" i="2"/>
  <c r="J133" i="2"/>
  <c r="H133" i="2"/>
  <c r="G133" i="2"/>
  <c r="F133" i="2"/>
  <c r="D133" i="2"/>
  <c r="B133" i="2"/>
  <c r="J132" i="2"/>
  <c r="J131" i="2" s="1"/>
  <c r="I132" i="2"/>
  <c r="I131" i="2" s="1"/>
  <c r="E132" i="2"/>
  <c r="E131" i="2" s="1"/>
  <c r="K131" i="2"/>
  <c r="H131" i="2"/>
  <c r="G131" i="2"/>
  <c r="F131" i="2"/>
  <c r="D131" i="2"/>
  <c r="C131" i="2"/>
  <c r="B131" i="2"/>
  <c r="L130" i="2"/>
  <c r="I130" i="2"/>
  <c r="E130" i="2"/>
  <c r="I129" i="2"/>
  <c r="C129" i="2"/>
  <c r="E129" i="2" s="1"/>
  <c r="L128" i="2"/>
  <c r="I128" i="2"/>
  <c r="E128" i="2"/>
  <c r="L127" i="2"/>
  <c r="I127" i="2"/>
  <c r="E127" i="2"/>
  <c r="L126" i="2"/>
  <c r="I126" i="2"/>
  <c r="E126" i="2"/>
  <c r="L125" i="2"/>
  <c r="I125" i="2"/>
  <c r="C125" i="2"/>
  <c r="E125" i="2" s="1"/>
  <c r="K124" i="2"/>
  <c r="L124" i="2" s="1"/>
  <c r="I124" i="2"/>
  <c r="E124" i="2"/>
  <c r="L123" i="2"/>
  <c r="I123" i="2"/>
  <c r="E123" i="2"/>
  <c r="L122" i="2"/>
  <c r="I122" i="2"/>
  <c r="E122" i="2"/>
  <c r="L121" i="2"/>
  <c r="I121" i="2"/>
  <c r="D121" i="2"/>
  <c r="D114" i="2" s="1"/>
  <c r="L120" i="2"/>
  <c r="I120" i="2"/>
  <c r="E120" i="2"/>
  <c r="L119" i="2"/>
  <c r="I119" i="2"/>
  <c r="E119" i="2"/>
  <c r="L118" i="2"/>
  <c r="I118" i="2"/>
  <c r="E118" i="2"/>
  <c r="L117" i="2"/>
  <c r="I117" i="2"/>
  <c r="E117" i="2"/>
  <c r="L116" i="2"/>
  <c r="I116" i="2"/>
  <c r="E116" i="2"/>
  <c r="L115" i="2"/>
  <c r="I115" i="2"/>
  <c r="E115" i="2"/>
  <c r="G114" i="2"/>
  <c r="F114" i="2"/>
  <c r="B114" i="2"/>
  <c r="L107" i="2"/>
  <c r="I107" i="2"/>
  <c r="C107" i="2"/>
  <c r="E107" i="2" s="1"/>
  <c r="L106" i="2"/>
  <c r="I106" i="2"/>
  <c r="C106" i="2"/>
  <c r="E106" i="2" s="1"/>
  <c r="L105" i="2"/>
  <c r="I105" i="2"/>
  <c r="E105" i="2"/>
  <c r="K104" i="2"/>
  <c r="J104" i="2"/>
  <c r="H104" i="2"/>
  <c r="G104" i="2"/>
  <c r="F104" i="2"/>
  <c r="D104" i="2"/>
  <c r="B104" i="2"/>
  <c r="L103" i="2"/>
  <c r="L102" i="2" s="1"/>
  <c r="I103" i="2"/>
  <c r="I102" i="2" s="1"/>
  <c r="E103" i="2"/>
  <c r="K102" i="2"/>
  <c r="J102" i="2"/>
  <c r="H102" i="2"/>
  <c r="G102" i="2"/>
  <c r="F102" i="2"/>
  <c r="D102" i="2"/>
  <c r="C102" i="2"/>
  <c r="B102" i="2"/>
  <c r="I101" i="2"/>
  <c r="E101" i="2"/>
  <c r="L100" i="2"/>
  <c r="I100" i="2"/>
  <c r="C100" i="2"/>
  <c r="E100" i="2" s="1"/>
  <c r="L99" i="2"/>
  <c r="I99" i="2"/>
  <c r="E99" i="2"/>
  <c r="L98" i="2"/>
  <c r="I98" i="2"/>
  <c r="C98" i="2"/>
  <c r="E98" i="2" s="1"/>
  <c r="L97" i="2"/>
  <c r="I97" i="2"/>
  <c r="E97" i="2"/>
  <c r="L96" i="2"/>
  <c r="I96" i="2"/>
  <c r="C96" i="2"/>
  <c r="E96" i="2" s="1"/>
  <c r="L95" i="2"/>
  <c r="I95" i="2"/>
  <c r="E95" i="2"/>
  <c r="L94" i="2"/>
  <c r="I94" i="2"/>
  <c r="E94" i="2"/>
  <c r="L93" i="2"/>
  <c r="I93" i="2"/>
  <c r="E93" i="2"/>
  <c r="L92" i="2"/>
  <c r="I92" i="2"/>
  <c r="F85" i="2"/>
  <c r="E92" i="2"/>
  <c r="L91" i="2"/>
  <c r="I91" i="2"/>
  <c r="E91" i="2"/>
  <c r="L90" i="2"/>
  <c r="I90" i="2"/>
  <c r="E90" i="2"/>
  <c r="L89" i="2"/>
  <c r="I89" i="2"/>
  <c r="E89" i="2"/>
  <c r="L88" i="2"/>
  <c r="I88" i="2"/>
  <c r="E88" i="2"/>
  <c r="L87" i="2"/>
  <c r="I87" i="2"/>
  <c r="E87" i="2"/>
  <c r="L86" i="2"/>
  <c r="I86" i="2"/>
  <c r="E86" i="2"/>
  <c r="G85" i="2"/>
  <c r="D85" i="2"/>
  <c r="B85" i="2"/>
  <c r="M83" i="2"/>
  <c r="L78" i="2"/>
  <c r="C78" i="2"/>
  <c r="E78" i="2" s="1"/>
  <c r="C77" i="2"/>
  <c r="E77" i="2" s="1"/>
  <c r="L76" i="2"/>
  <c r="E76" i="2"/>
  <c r="K75" i="2"/>
  <c r="J75" i="2"/>
  <c r="I75" i="2"/>
  <c r="H75" i="2"/>
  <c r="G75" i="2"/>
  <c r="F75" i="2"/>
  <c r="D75" i="2"/>
  <c r="B75" i="2"/>
  <c r="J73" i="2"/>
  <c r="I74" i="2"/>
  <c r="I73" i="2" s="1"/>
  <c r="E74" i="2"/>
  <c r="E73" i="2" s="1"/>
  <c r="K73" i="2"/>
  <c r="H73" i="2"/>
  <c r="G73" i="2"/>
  <c r="F73" i="2"/>
  <c r="D73" i="2"/>
  <c r="C73" i="2"/>
  <c r="B73" i="2"/>
  <c r="I72" i="2"/>
  <c r="E72" i="2"/>
  <c r="C71" i="2"/>
  <c r="E71" i="2" s="1"/>
  <c r="L70" i="2"/>
  <c r="I70" i="2"/>
  <c r="E70" i="2"/>
  <c r="L69" i="2"/>
  <c r="I69" i="2"/>
  <c r="C69" i="2"/>
  <c r="E69" i="2" s="1"/>
  <c r="L68" i="2"/>
  <c r="I68" i="2"/>
  <c r="E68" i="2"/>
  <c r="I67" i="2"/>
  <c r="E67" i="2"/>
  <c r="I66" i="2"/>
  <c r="E66" i="2"/>
  <c r="I65" i="2"/>
  <c r="E65" i="2"/>
  <c r="L64" i="2"/>
  <c r="I64" i="2"/>
  <c r="E64" i="2"/>
  <c r="I63" i="2"/>
  <c r="E63" i="2"/>
  <c r="I62" i="2"/>
  <c r="E62" i="2"/>
  <c r="L61" i="2"/>
  <c r="I61" i="2"/>
  <c r="E61" i="2"/>
  <c r="L60" i="2"/>
  <c r="I60" i="2"/>
  <c r="E60" i="2"/>
  <c r="L59" i="2"/>
  <c r="I59" i="2"/>
  <c r="E59" i="2"/>
  <c r="I58" i="2"/>
  <c r="E58" i="2"/>
  <c r="L57" i="2"/>
  <c r="H57" i="2"/>
  <c r="I57" i="2" s="1"/>
  <c r="E57" i="2"/>
  <c r="K56" i="2"/>
  <c r="J56" i="2"/>
  <c r="G56" i="2"/>
  <c r="F56" i="2"/>
  <c r="D56" i="2"/>
  <c r="B56" i="2"/>
  <c r="M54" i="2"/>
  <c r="L47" i="2"/>
  <c r="E47" i="2"/>
  <c r="L46" i="2"/>
  <c r="E46" i="2"/>
  <c r="L45" i="2"/>
  <c r="E45" i="2"/>
  <c r="K44" i="2"/>
  <c r="J44" i="2"/>
  <c r="I44" i="2"/>
  <c r="H44" i="2"/>
  <c r="G44" i="2"/>
  <c r="F44" i="2"/>
  <c r="D44" i="2"/>
  <c r="C44" i="2"/>
  <c r="B44" i="2"/>
  <c r="L43" i="2"/>
  <c r="I43" i="2"/>
  <c r="E43" i="2"/>
  <c r="E42" i="2" s="1"/>
  <c r="K42" i="2"/>
  <c r="J42" i="2"/>
  <c r="I42" i="2"/>
  <c r="H42" i="2"/>
  <c r="G42" i="2"/>
  <c r="F42" i="2"/>
  <c r="D42" i="2"/>
  <c r="C42" i="2"/>
  <c r="B42" i="2"/>
  <c r="L41" i="2"/>
  <c r="I41" i="2"/>
  <c r="E41" i="2"/>
  <c r="L40" i="2"/>
  <c r="I40" i="2"/>
  <c r="E40" i="2"/>
  <c r="L39" i="2"/>
  <c r="I39" i="2"/>
  <c r="E39" i="2"/>
  <c r="L38" i="2"/>
  <c r="I38" i="2"/>
  <c r="E38" i="2"/>
  <c r="L37" i="2"/>
  <c r="I37" i="2"/>
  <c r="E37" i="2"/>
  <c r="L36" i="2"/>
  <c r="I36" i="2"/>
  <c r="E36" i="2"/>
  <c r="L35" i="2"/>
  <c r="I35" i="2"/>
  <c r="E35" i="2"/>
  <c r="L34" i="2"/>
  <c r="I34" i="2"/>
  <c r="E34" i="2"/>
  <c r="L33" i="2"/>
  <c r="I33" i="2"/>
  <c r="E33" i="2"/>
  <c r="L32" i="2"/>
  <c r="I32" i="2"/>
  <c r="E32" i="2"/>
  <c r="L31" i="2"/>
  <c r="I31" i="2"/>
  <c r="E31" i="2"/>
  <c r="L30" i="2"/>
  <c r="I30" i="2"/>
  <c r="E30" i="2"/>
  <c r="L29" i="2"/>
  <c r="I29" i="2"/>
  <c r="E29" i="2"/>
  <c r="L28" i="2"/>
  <c r="I28" i="2"/>
  <c r="E28" i="2"/>
  <c r="L27" i="2"/>
  <c r="I27" i="2"/>
  <c r="E27" i="2"/>
  <c r="L26" i="2"/>
  <c r="I26" i="2"/>
  <c r="E26" i="2"/>
  <c r="K25" i="2"/>
  <c r="J25" i="2"/>
  <c r="H25" i="2"/>
  <c r="H22" i="2" s="1"/>
  <c r="G25" i="2"/>
  <c r="F25" i="2"/>
  <c r="D25" i="2"/>
  <c r="B25" i="2"/>
  <c r="M23" i="2"/>
  <c r="H13" i="2"/>
  <c r="H11" i="2" s="1"/>
  <c r="F13" i="2"/>
  <c r="F11" i="2" s="1"/>
  <c r="D13" i="2"/>
  <c r="B13" i="2"/>
  <c r="B11" i="2" s="1"/>
  <c r="L44" i="2" l="1"/>
  <c r="G22" i="2"/>
  <c r="J22" i="2"/>
  <c r="B22" i="2"/>
  <c r="B24" i="2" s="1"/>
  <c r="F22" i="2"/>
  <c r="F24" i="2" s="1"/>
  <c r="K22" i="2"/>
  <c r="M28" i="2"/>
  <c r="M33" i="2"/>
  <c r="M37" i="2"/>
  <c r="M41" i="2"/>
  <c r="M45" i="2"/>
  <c r="M47" i="2"/>
  <c r="D111" i="2"/>
  <c r="D113" i="2" s="1"/>
  <c r="B111" i="2"/>
  <c r="B113" i="2" s="1"/>
  <c r="B82" i="2"/>
  <c r="D82" i="2"/>
  <c r="D84" i="2" s="1"/>
  <c r="M87" i="2"/>
  <c r="M91" i="2"/>
  <c r="M94" i="2"/>
  <c r="M105" i="2"/>
  <c r="L104" i="2"/>
  <c r="G111" i="2"/>
  <c r="G113" i="2" s="1"/>
  <c r="M116" i="2"/>
  <c r="M120" i="2"/>
  <c r="M119" i="2"/>
  <c r="J53" i="2"/>
  <c r="J55" i="2" s="1"/>
  <c r="M66" i="2"/>
  <c r="M90" i="2"/>
  <c r="M126" i="2"/>
  <c r="M130" i="2"/>
  <c r="M71" i="2"/>
  <c r="M89" i="2"/>
  <c r="M118" i="2"/>
  <c r="B53" i="2"/>
  <c r="B55" i="2" s="1"/>
  <c r="M62" i="2"/>
  <c r="M78" i="2"/>
  <c r="M88" i="2"/>
  <c r="M97" i="2"/>
  <c r="M99" i="2"/>
  <c r="M117" i="2"/>
  <c r="L129" i="2"/>
  <c r="L114" i="2" s="1"/>
  <c r="M100" i="2"/>
  <c r="M27" i="2"/>
  <c r="M31" i="2"/>
  <c r="C56" i="2"/>
  <c r="K85" i="2"/>
  <c r="K82" i="2" s="1"/>
  <c r="K84" i="2" s="1"/>
  <c r="M128" i="2"/>
  <c r="I25" i="2"/>
  <c r="I22" i="2" s="1"/>
  <c r="I24" i="2" s="1"/>
  <c r="M30" i="2"/>
  <c r="M46" i="2"/>
  <c r="D53" i="2"/>
  <c r="D55" i="2" s="1"/>
  <c r="J85" i="2"/>
  <c r="J82" i="2" s="1"/>
  <c r="J84" i="2" s="1"/>
  <c r="J114" i="2"/>
  <c r="J111" i="2" s="1"/>
  <c r="J113" i="2" s="1"/>
  <c r="M123" i="2"/>
  <c r="M127" i="2"/>
  <c r="C133" i="2"/>
  <c r="I133" i="2"/>
  <c r="L75" i="2"/>
  <c r="D22" i="2"/>
  <c r="M29" i="2"/>
  <c r="F53" i="2"/>
  <c r="F55" i="2" s="1"/>
  <c r="C114" i="2"/>
  <c r="M122" i="2"/>
  <c r="M136" i="2"/>
  <c r="L25" i="2"/>
  <c r="M36" i="2"/>
  <c r="M40" i="2"/>
  <c r="K53" i="2"/>
  <c r="K55" i="2" s="1"/>
  <c r="M58" i="2"/>
  <c r="M61" i="2"/>
  <c r="M70" i="2"/>
  <c r="C75" i="2"/>
  <c r="M76" i="2"/>
  <c r="M93" i="2"/>
  <c r="M98" i="2"/>
  <c r="I104" i="2"/>
  <c r="K114" i="2"/>
  <c r="K111" i="2" s="1"/>
  <c r="K113" i="2" s="1"/>
  <c r="E121" i="2"/>
  <c r="E114" i="2" s="1"/>
  <c r="M72" i="2"/>
  <c r="M65" i="2"/>
  <c r="M26" i="2"/>
  <c r="M35" i="2"/>
  <c r="M39" i="2"/>
  <c r="M43" i="2"/>
  <c r="M42" i="2" s="1"/>
  <c r="M57" i="2"/>
  <c r="M60" i="2"/>
  <c r="M64" i="2"/>
  <c r="F82" i="2"/>
  <c r="F84" i="2" s="1"/>
  <c r="M96" i="2"/>
  <c r="M103" i="2"/>
  <c r="M102" i="2" s="1"/>
  <c r="M107" i="2"/>
  <c r="F111" i="2"/>
  <c r="F113" i="2" s="1"/>
  <c r="M124" i="2"/>
  <c r="M125" i="2"/>
  <c r="M134" i="2"/>
  <c r="M34" i="2"/>
  <c r="M38" i="2"/>
  <c r="L42" i="2"/>
  <c r="G53" i="2"/>
  <c r="G55" i="2" s="1"/>
  <c r="I56" i="2"/>
  <c r="I53" i="2" s="1"/>
  <c r="I55" i="2" s="1"/>
  <c r="M59" i="2"/>
  <c r="M68" i="2"/>
  <c r="G82" i="2"/>
  <c r="G84" i="2" s="1"/>
  <c r="I85" i="2"/>
  <c r="I82" i="2" s="1"/>
  <c r="I84" i="2" s="1"/>
  <c r="L101" i="2"/>
  <c r="L85" i="2" s="1"/>
  <c r="L82" i="2" s="1"/>
  <c r="L84" i="2" s="1"/>
  <c r="M106" i="2"/>
  <c r="I114" i="2"/>
  <c r="M92" i="2"/>
  <c r="D11" i="2"/>
  <c r="M69" i="2"/>
  <c r="M63" i="2"/>
  <c r="L56" i="2"/>
  <c r="M67" i="2"/>
  <c r="M77" i="2"/>
  <c r="B84" i="2"/>
  <c r="E85" i="2"/>
  <c r="M32" i="2"/>
  <c r="E25" i="2"/>
  <c r="M95" i="2"/>
  <c r="E44" i="2"/>
  <c r="C85" i="2"/>
  <c r="C104" i="2"/>
  <c r="L132" i="2"/>
  <c r="L131" i="2" s="1"/>
  <c r="M86" i="2"/>
  <c r="M115" i="2"/>
  <c r="H56" i="2"/>
  <c r="H53" i="2" s="1"/>
  <c r="H55" i="2" s="1"/>
  <c r="L74" i="2"/>
  <c r="L73" i="2" s="1"/>
  <c r="C25" i="2"/>
  <c r="C22" i="2" s="1"/>
  <c r="E56" i="2"/>
  <c r="H85" i="2"/>
  <c r="H82" i="2" s="1"/>
  <c r="H84" i="2" s="1"/>
  <c r="H114" i="2"/>
  <c r="H111" i="2" s="1"/>
  <c r="H113" i="2" s="1"/>
  <c r="E133" i="2"/>
  <c r="E75" i="2"/>
  <c r="E102" i="2"/>
  <c r="E104" i="2"/>
  <c r="J73" i="1"/>
  <c r="M75" i="2" l="1"/>
  <c r="M44" i="2"/>
  <c r="M104" i="2"/>
  <c r="M133" i="2"/>
  <c r="M121" i="2"/>
  <c r="M129" i="2"/>
  <c r="L111" i="2"/>
  <c r="L113" i="2" s="1"/>
  <c r="I111" i="2"/>
  <c r="I113" i="2" s="1"/>
  <c r="C53" i="2"/>
  <c r="C55" i="2" s="1"/>
  <c r="C111" i="2"/>
  <c r="C113" i="2" s="1"/>
  <c r="L22" i="2"/>
  <c r="L24" i="2" s="1"/>
  <c r="M101" i="2"/>
  <c r="M85" i="2" s="1"/>
  <c r="M25" i="2"/>
  <c r="M22" i="2" s="1"/>
  <c r="M24" i="2" s="1"/>
  <c r="M56" i="2"/>
  <c r="L53" i="2"/>
  <c r="L55" i="2" s="1"/>
  <c r="E82" i="2"/>
  <c r="E53" i="2"/>
  <c r="C82" i="2"/>
  <c r="C84" i="2" s="1"/>
  <c r="M132" i="2"/>
  <c r="M131" i="2" s="1"/>
  <c r="E22" i="2"/>
  <c r="E24" i="2" s="1"/>
  <c r="M74" i="2"/>
  <c r="E111" i="2"/>
  <c r="E113" i="2" s="1"/>
  <c r="M111" i="1"/>
  <c r="M82" i="1"/>
  <c r="M53" i="1"/>
  <c r="M24" i="1"/>
  <c r="M114" i="2" l="1"/>
  <c r="E84" i="2"/>
  <c r="M82" i="2"/>
  <c r="M84" i="2" s="1"/>
  <c r="M111" i="2"/>
  <c r="M113" i="2" s="1"/>
  <c r="M73" i="2"/>
  <c r="E55" i="2"/>
  <c r="M53" i="2"/>
  <c r="M55" i="2" s="1"/>
  <c r="J126" i="1"/>
  <c r="L126" i="1" s="1"/>
  <c r="J120" i="1"/>
  <c r="J128" i="1"/>
  <c r="J129" i="1"/>
  <c r="J131" i="1"/>
  <c r="L131" i="1" s="1"/>
  <c r="L130" i="1" s="1"/>
  <c r="H114" i="1"/>
  <c r="I114" i="1"/>
  <c r="D120" i="1"/>
  <c r="L135" i="1"/>
  <c r="I135" i="1"/>
  <c r="C135" i="1"/>
  <c r="E135" i="1" s="1"/>
  <c r="L134" i="1"/>
  <c r="I134" i="1"/>
  <c r="I132" i="1" s="1"/>
  <c r="C134" i="1"/>
  <c r="E134" i="1" s="1"/>
  <c r="L133" i="1"/>
  <c r="I133" i="1"/>
  <c r="E133" i="1"/>
  <c r="K132" i="1"/>
  <c r="J132" i="1"/>
  <c r="H132" i="1"/>
  <c r="G132" i="1"/>
  <c r="F132" i="1"/>
  <c r="D132" i="1"/>
  <c r="C132" i="1"/>
  <c r="I131" i="1"/>
  <c r="I130" i="1" s="1"/>
  <c r="E131" i="1"/>
  <c r="E130" i="1" s="1"/>
  <c r="K130" i="1"/>
  <c r="H130" i="1"/>
  <c r="G130" i="1"/>
  <c r="F130" i="1"/>
  <c r="D130" i="1"/>
  <c r="C130" i="1"/>
  <c r="K129" i="1"/>
  <c r="I129" i="1"/>
  <c r="E129" i="1"/>
  <c r="K128" i="1"/>
  <c r="I128" i="1"/>
  <c r="C128" i="1"/>
  <c r="E128" i="1" s="1"/>
  <c r="L127" i="1"/>
  <c r="I127" i="1"/>
  <c r="E127" i="1"/>
  <c r="I126" i="1"/>
  <c r="C126" i="1"/>
  <c r="E126" i="1" s="1"/>
  <c r="L125" i="1"/>
  <c r="I125" i="1"/>
  <c r="E125" i="1"/>
  <c r="L124" i="1"/>
  <c r="I124" i="1"/>
  <c r="C124" i="1"/>
  <c r="E124" i="1" s="1"/>
  <c r="K123" i="1"/>
  <c r="L123" i="1" s="1"/>
  <c r="I123" i="1"/>
  <c r="E123" i="1"/>
  <c r="L122" i="1"/>
  <c r="I122" i="1"/>
  <c r="E122" i="1"/>
  <c r="L121" i="1"/>
  <c r="I121" i="1"/>
  <c r="E121" i="1"/>
  <c r="L120" i="1"/>
  <c r="I120" i="1"/>
  <c r="F120" i="1"/>
  <c r="C120" i="1"/>
  <c r="L119" i="1"/>
  <c r="I119" i="1"/>
  <c r="E119" i="1"/>
  <c r="L118" i="1"/>
  <c r="I118" i="1"/>
  <c r="E118" i="1"/>
  <c r="L117" i="1"/>
  <c r="I117" i="1"/>
  <c r="E117" i="1"/>
  <c r="L116" i="1"/>
  <c r="I116" i="1"/>
  <c r="E116" i="1"/>
  <c r="L115" i="1"/>
  <c r="I115" i="1"/>
  <c r="E115" i="1"/>
  <c r="L114" i="1"/>
  <c r="E114" i="1"/>
  <c r="J99" i="1"/>
  <c r="K100" i="1"/>
  <c r="J100" i="1"/>
  <c r="K99" i="1"/>
  <c r="J97" i="1"/>
  <c r="K94" i="1"/>
  <c r="H56" i="1"/>
  <c r="H85" i="1"/>
  <c r="F91" i="1"/>
  <c r="C91" i="1"/>
  <c r="C106" i="1"/>
  <c r="C105" i="1"/>
  <c r="D103" i="1"/>
  <c r="D101" i="1"/>
  <c r="C101" i="1"/>
  <c r="C99" i="1"/>
  <c r="C97" i="1"/>
  <c r="C95" i="1"/>
  <c r="L129" i="1" l="1"/>
  <c r="L132" i="1"/>
  <c r="L128" i="1"/>
  <c r="C103" i="1"/>
  <c r="J130" i="1"/>
  <c r="E120" i="1"/>
  <c r="E132" i="1"/>
  <c r="J70" i="1"/>
  <c r="J62" i="1"/>
  <c r="C77" i="1"/>
  <c r="C76" i="1"/>
  <c r="N74" i="1"/>
  <c r="C70" i="1" l="1"/>
  <c r="C68" i="1"/>
  <c r="C66" i="1"/>
  <c r="C62" i="1"/>
  <c r="L48" i="1" l="1"/>
  <c r="E48" i="1"/>
  <c r="L47" i="1"/>
  <c r="E47" i="1"/>
  <c r="E45" i="1" s="1"/>
  <c r="L46" i="1"/>
  <c r="E46" i="1"/>
  <c r="L45" i="1"/>
  <c r="K45" i="1"/>
  <c r="J45" i="1"/>
  <c r="I45" i="1"/>
  <c r="H45" i="1"/>
  <c r="G45" i="1"/>
  <c r="F45" i="1"/>
  <c r="D45" i="1"/>
  <c r="C45" i="1"/>
  <c r="B45" i="1"/>
  <c r="L44" i="1"/>
  <c r="I44" i="1"/>
  <c r="I43" i="1" s="1"/>
  <c r="E44" i="1"/>
  <c r="L43" i="1"/>
  <c r="K43" i="1"/>
  <c r="J43" i="1"/>
  <c r="H43" i="1"/>
  <c r="G43" i="1"/>
  <c r="F43" i="1"/>
  <c r="E43" i="1"/>
  <c r="D43" i="1"/>
  <c r="C43" i="1"/>
  <c r="B43" i="1"/>
  <c r="L42" i="1"/>
  <c r="I42" i="1"/>
  <c r="E42" i="1"/>
  <c r="L41" i="1"/>
  <c r="I41" i="1"/>
  <c r="E41" i="1"/>
  <c r="L40" i="1"/>
  <c r="I40" i="1"/>
  <c r="E40" i="1"/>
  <c r="L39" i="1"/>
  <c r="I39" i="1"/>
  <c r="E39" i="1"/>
  <c r="L38" i="1"/>
  <c r="I38" i="1"/>
  <c r="E38" i="1"/>
  <c r="L37" i="1"/>
  <c r="I37" i="1"/>
  <c r="E37" i="1"/>
  <c r="L36" i="1"/>
  <c r="I36" i="1"/>
  <c r="E36" i="1"/>
  <c r="L35" i="1"/>
  <c r="I35" i="1"/>
  <c r="E35" i="1"/>
  <c r="L34" i="1"/>
  <c r="I34" i="1"/>
  <c r="E34" i="1"/>
  <c r="L33" i="1"/>
  <c r="I33" i="1"/>
  <c r="C33" i="1"/>
  <c r="E33" i="1" s="1"/>
  <c r="L32" i="1"/>
  <c r="I32" i="1"/>
  <c r="E32" i="1"/>
  <c r="L31" i="1"/>
  <c r="I31" i="1"/>
  <c r="E31" i="1"/>
  <c r="L30" i="1"/>
  <c r="I30" i="1"/>
  <c r="E30" i="1"/>
  <c r="L29" i="1"/>
  <c r="I29" i="1"/>
  <c r="E29" i="1"/>
  <c r="L28" i="1"/>
  <c r="I28" i="1"/>
  <c r="E28" i="1"/>
  <c r="L27" i="1"/>
  <c r="I27" i="1"/>
  <c r="E27" i="1"/>
  <c r="B14" i="1" l="1"/>
  <c r="B12" i="1" s="1"/>
  <c r="B130" i="1" l="1"/>
  <c r="M127" i="1"/>
  <c r="K113" i="1"/>
  <c r="J113" i="1"/>
  <c r="H113" i="1"/>
  <c r="G113" i="1"/>
  <c r="F113" i="1"/>
  <c r="F110" i="1" s="1"/>
  <c r="F112" i="1" s="1"/>
  <c r="D113" i="1"/>
  <c r="D110" i="1" s="1"/>
  <c r="C113" i="1"/>
  <c r="L106" i="1"/>
  <c r="I106" i="1"/>
  <c r="E106" i="1"/>
  <c r="L105" i="1"/>
  <c r="I105" i="1"/>
  <c r="B103" i="1"/>
  <c r="L104" i="1"/>
  <c r="I104" i="1"/>
  <c r="E104" i="1"/>
  <c r="K103" i="1"/>
  <c r="J103" i="1"/>
  <c r="H103" i="1"/>
  <c r="G103" i="1"/>
  <c r="F103" i="1"/>
  <c r="L102" i="1"/>
  <c r="L101" i="1" s="1"/>
  <c r="I102" i="1"/>
  <c r="I101" i="1" s="1"/>
  <c r="E102" i="1"/>
  <c r="E101" i="1" s="1"/>
  <c r="K101" i="1"/>
  <c r="J101" i="1"/>
  <c r="H101" i="1"/>
  <c r="G101" i="1"/>
  <c r="F101" i="1"/>
  <c r="B101" i="1"/>
  <c r="L100" i="1"/>
  <c r="I100" i="1"/>
  <c r="E100" i="1"/>
  <c r="L99" i="1"/>
  <c r="I99" i="1"/>
  <c r="E99" i="1"/>
  <c r="L98" i="1"/>
  <c r="I98" i="1"/>
  <c r="E98" i="1"/>
  <c r="L97" i="1"/>
  <c r="I97" i="1"/>
  <c r="E97" i="1"/>
  <c r="L96" i="1"/>
  <c r="I96" i="1"/>
  <c r="E96" i="1"/>
  <c r="L95" i="1"/>
  <c r="I95" i="1"/>
  <c r="E95" i="1"/>
  <c r="L94" i="1"/>
  <c r="I94" i="1"/>
  <c r="E94" i="1"/>
  <c r="L93" i="1"/>
  <c r="I93" i="1"/>
  <c r="E93" i="1"/>
  <c r="L92" i="1"/>
  <c r="I92" i="1"/>
  <c r="E92" i="1"/>
  <c r="L91" i="1"/>
  <c r="I91" i="1"/>
  <c r="E91" i="1"/>
  <c r="L90" i="1"/>
  <c r="I90" i="1"/>
  <c r="E90" i="1"/>
  <c r="L89" i="1"/>
  <c r="I89" i="1"/>
  <c r="E89" i="1"/>
  <c r="L88" i="1"/>
  <c r="I88" i="1"/>
  <c r="E88" i="1"/>
  <c r="L87" i="1"/>
  <c r="I87" i="1"/>
  <c r="E87" i="1"/>
  <c r="L86" i="1"/>
  <c r="I86" i="1"/>
  <c r="E86" i="1"/>
  <c r="L85" i="1"/>
  <c r="H84" i="1"/>
  <c r="E85" i="1"/>
  <c r="K84" i="1"/>
  <c r="J84" i="1"/>
  <c r="G84" i="1"/>
  <c r="F84" i="1"/>
  <c r="D84" i="1"/>
  <c r="C84" i="1"/>
  <c r="B84" i="1"/>
  <c r="L77" i="1"/>
  <c r="E77" i="1"/>
  <c r="L76" i="1"/>
  <c r="E76" i="1"/>
  <c r="L75" i="1"/>
  <c r="E75" i="1"/>
  <c r="K74" i="1"/>
  <c r="J74" i="1"/>
  <c r="I74" i="1"/>
  <c r="H74" i="1"/>
  <c r="G74" i="1"/>
  <c r="F74" i="1"/>
  <c r="D74" i="1"/>
  <c r="C74" i="1"/>
  <c r="B74" i="1"/>
  <c r="L73" i="1"/>
  <c r="L72" i="1" s="1"/>
  <c r="I73" i="1"/>
  <c r="I72" i="1" s="1"/>
  <c r="E73" i="1"/>
  <c r="K72" i="1"/>
  <c r="J72" i="1"/>
  <c r="H72" i="1"/>
  <c r="G72" i="1"/>
  <c r="F72" i="1"/>
  <c r="D72" i="1"/>
  <c r="C72" i="1"/>
  <c r="B72" i="1"/>
  <c r="L71" i="1"/>
  <c r="I71" i="1"/>
  <c r="E71" i="1"/>
  <c r="L70" i="1"/>
  <c r="I70" i="1"/>
  <c r="E70" i="1"/>
  <c r="L69" i="1"/>
  <c r="I69" i="1"/>
  <c r="E69" i="1"/>
  <c r="L68" i="1"/>
  <c r="I68" i="1"/>
  <c r="E68" i="1"/>
  <c r="L67" i="1"/>
  <c r="I67" i="1"/>
  <c r="E67" i="1"/>
  <c r="L66" i="1"/>
  <c r="I66" i="1"/>
  <c r="E66" i="1"/>
  <c r="L65" i="1"/>
  <c r="I65" i="1"/>
  <c r="E65" i="1"/>
  <c r="L64" i="1"/>
  <c r="I64" i="1"/>
  <c r="E64" i="1"/>
  <c r="L63" i="1"/>
  <c r="I63" i="1"/>
  <c r="E63" i="1"/>
  <c r="L62" i="1"/>
  <c r="I62" i="1"/>
  <c r="C55" i="1"/>
  <c r="L61" i="1"/>
  <c r="I61" i="1"/>
  <c r="E61" i="1"/>
  <c r="L60" i="1"/>
  <c r="I60" i="1"/>
  <c r="E60" i="1"/>
  <c r="L59" i="1"/>
  <c r="I59" i="1"/>
  <c r="E59" i="1"/>
  <c r="L58" i="1"/>
  <c r="I58" i="1"/>
  <c r="E58" i="1"/>
  <c r="K55" i="1"/>
  <c r="I57" i="1"/>
  <c r="E57" i="1"/>
  <c r="L56" i="1"/>
  <c r="I56" i="1"/>
  <c r="E56" i="1"/>
  <c r="J55" i="1"/>
  <c r="H55" i="1"/>
  <c r="G55" i="1"/>
  <c r="F55" i="1"/>
  <c r="D55" i="1"/>
  <c r="B55" i="1"/>
  <c r="K26" i="1"/>
  <c r="J26" i="1"/>
  <c r="H26" i="1"/>
  <c r="G26" i="1"/>
  <c r="G23" i="1" s="1"/>
  <c r="F26" i="1"/>
  <c r="D26" i="1"/>
  <c r="C26" i="1"/>
  <c r="B26" i="1"/>
  <c r="H14" i="1"/>
  <c r="H12" i="1" s="1"/>
  <c r="F14" i="1"/>
  <c r="F12" i="1" s="1"/>
  <c r="D14" i="1"/>
  <c r="D12" i="1" s="1"/>
  <c r="K81" i="1" l="1"/>
  <c r="H52" i="1"/>
  <c r="B132" i="1"/>
  <c r="I85" i="1"/>
  <c r="I84" i="1" s="1"/>
  <c r="M123" i="1"/>
  <c r="G52" i="1"/>
  <c r="I55" i="1"/>
  <c r="I52" i="1" s="1"/>
  <c r="I54" i="1" s="1"/>
  <c r="L74" i="1"/>
  <c r="K23" i="1"/>
  <c r="B52" i="1"/>
  <c r="B54" i="1" s="1"/>
  <c r="M76" i="1"/>
  <c r="F81" i="1"/>
  <c r="F83" i="1" s="1"/>
  <c r="J23" i="1"/>
  <c r="L26" i="1"/>
  <c r="M37" i="1"/>
  <c r="M41" i="1"/>
  <c r="M44" i="1"/>
  <c r="M43" i="1" s="1"/>
  <c r="M46" i="1"/>
  <c r="G81" i="1"/>
  <c r="F23" i="1"/>
  <c r="F25" i="1" s="1"/>
  <c r="M73" i="1"/>
  <c r="N73" i="1" s="1"/>
  <c r="M75" i="1"/>
  <c r="M77" i="1"/>
  <c r="E72" i="1"/>
  <c r="M102" i="1"/>
  <c r="M101" i="1" s="1"/>
  <c r="M106" i="1"/>
  <c r="E113" i="1"/>
  <c r="I113" i="1"/>
  <c r="I110" i="1" s="1"/>
  <c r="I112" i="1" s="1"/>
  <c r="I26" i="1"/>
  <c r="I23" i="1" s="1"/>
  <c r="I25" i="1" s="1"/>
  <c r="M38" i="1"/>
  <c r="M42" i="1"/>
  <c r="C23" i="1"/>
  <c r="M47" i="1"/>
  <c r="M64" i="1"/>
  <c r="F52" i="1"/>
  <c r="F54" i="1" s="1"/>
  <c r="H110" i="1"/>
  <c r="M117" i="1"/>
  <c r="L23" i="1"/>
  <c r="L25" i="1" s="1"/>
  <c r="L103" i="1"/>
  <c r="B23" i="1"/>
  <c r="B25" i="1" s="1"/>
  <c r="M135" i="1"/>
  <c r="H23" i="1"/>
  <c r="M28" i="1"/>
  <c r="M32" i="1"/>
  <c r="M36" i="1"/>
  <c r="M40" i="1"/>
  <c r="D52" i="1"/>
  <c r="M59" i="1"/>
  <c r="M63" i="1"/>
  <c r="M67" i="1"/>
  <c r="B81" i="1"/>
  <c r="B83" i="1" s="1"/>
  <c r="M86" i="1"/>
  <c r="M91" i="1"/>
  <c r="M95" i="1"/>
  <c r="M99" i="1"/>
  <c r="C81" i="1"/>
  <c r="M116" i="1"/>
  <c r="M122" i="1"/>
  <c r="M129" i="1"/>
  <c r="M119" i="1"/>
  <c r="D23" i="1"/>
  <c r="M27" i="1"/>
  <c r="M31" i="1"/>
  <c r="M35" i="1"/>
  <c r="M39" i="1"/>
  <c r="M48" i="1"/>
  <c r="O48" i="1" s="1"/>
  <c r="J52" i="1"/>
  <c r="M58" i="1"/>
  <c r="C52" i="1"/>
  <c r="M89" i="1"/>
  <c r="E84" i="1"/>
  <c r="M94" i="1"/>
  <c r="M98" i="1"/>
  <c r="D81" i="1"/>
  <c r="H81" i="1"/>
  <c r="M104" i="1"/>
  <c r="G110" i="1"/>
  <c r="C110" i="1"/>
  <c r="M133" i="1"/>
  <c r="J110" i="1"/>
  <c r="M126" i="1"/>
  <c r="M125" i="1"/>
  <c r="M124" i="1"/>
  <c r="M121" i="1"/>
  <c r="M120" i="1"/>
  <c r="M118" i="1"/>
  <c r="L113" i="1"/>
  <c r="L110" i="1" s="1"/>
  <c r="L112" i="1" s="1"/>
  <c r="M115" i="1"/>
  <c r="M114" i="1"/>
  <c r="M100" i="1"/>
  <c r="M97" i="1"/>
  <c r="M96" i="1"/>
  <c r="M93" i="1"/>
  <c r="M92" i="1"/>
  <c r="M88" i="1"/>
  <c r="M87" i="1"/>
  <c r="L84" i="1"/>
  <c r="M71" i="1"/>
  <c r="M69" i="1"/>
  <c r="M68" i="1"/>
  <c r="M65" i="1"/>
  <c r="M60" i="1"/>
  <c r="J81" i="1"/>
  <c r="M70" i="1"/>
  <c r="M66" i="1"/>
  <c r="M61" i="1"/>
  <c r="M56" i="1"/>
  <c r="M30" i="1"/>
  <c r="M34" i="1"/>
  <c r="M29" i="1"/>
  <c r="M33" i="1"/>
  <c r="K52" i="1"/>
  <c r="M134" i="1"/>
  <c r="E74" i="1"/>
  <c r="M90" i="1"/>
  <c r="I103" i="1"/>
  <c r="E105" i="1"/>
  <c r="K110" i="1"/>
  <c r="M131" i="1"/>
  <c r="M130" i="1" s="1"/>
  <c r="E26" i="1"/>
  <c r="L57" i="1"/>
  <c r="M57" i="1" s="1"/>
  <c r="E62" i="1"/>
  <c r="M72" i="1" l="1"/>
  <c r="E110" i="1"/>
  <c r="E112" i="1" s="1"/>
  <c r="M85" i="1"/>
  <c r="M84" i="1" s="1"/>
  <c r="M45" i="1"/>
  <c r="L81" i="1"/>
  <c r="L83" i="1" s="1"/>
  <c r="I81" i="1"/>
  <c r="I83" i="1" s="1"/>
  <c r="M74" i="1"/>
  <c r="N75" i="1" s="1"/>
  <c r="M132" i="1"/>
  <c r="M26" i="1"/>
  <c r="E23" i="1"/>
  <c r="E25" i="1" s="1"/>
  <c r="M105" i="1"/>
  <c r="M103" i="1" s="1"/>
  <c r="E103" i="1"/>
  <c r="E81" i="1" s="1"/>
  <c r="E83" i="1" s="1"/>
  <c r="M62" i="1"/>
  <c r="M55" i="1" s="1"/>
  <c r="E55" i="1"/>
  <c r="E52" i="1" s="1"/>
  <c r="E54" i="1" s="1"/>
  <c r="L55" i="1"/>
  <c r="L52" i="1" s="1"/>
  <c r="L54" i="1" s="1"/>
  <c r="M81" i="1" l="1"/>
  <c r="M83" i="1" s="1"/>
  <c r="M23" i="1"/>
  <c r="M25" i="1" s="1"/>
  <c r="M52" i="1"/>
  <c r="M54" i="1" s="1"/>
  <c r="M128" i="1"/>
  <c r="M113" i="1" s="1"/>
  <c r="B113" i="1" l="1"/>
  <c r="B110" i="1" s="1"/>
  <c r="M110" i="1" l="1"/>
  <c r="B112" i="1"/>
</calcChain>
</file>

<file path=xl/sharedStrings.xml><?xml version="1.0" encoding="utf-8"?>
<sst xmlns="http://schemas.openxmlformats.org/spreadsheetml/2006/main" count="354" uniqueCount="72">
  <si>
    <t>Republika e Kosovës / Republika Kosovo / Republic Of Kosovo</t>
  </si>
  <si>
    <t>Komuna e Rahovecit /Opštine Orahovac / Municipal of Rahovec</t>
  </si>
  <si>
    <t>Buxheti sipas qarkorës</t>
  </si>
  <si>
    <t>Totali i buxhetiit</t>
  </si>
  <si>
    <t xml:space="preserve">Të hyrat Vetanake </t>
  </si>
  <si>
    <t>Grandi qeveritar</t>
  </si>
  <si>
    <t>Grandi i përgjithshëm</t>
  </si>
  <si>
    <t>Grandi për Shëndetësi</t>
  </si>
  <si>
    <t>Grandi për Arsim</t>
  </si>
  <si>
    <t>Sherbime Rezidenciale</t>
  </si>
  <si>
    <t xml:space="preserve">Këshilli i Hoçës së Madhe </t>
  </si>
  <si>
    <t>Grandi</t>
  </si>
  <si>
    <t>THV</t>
  </si>
  <si>
    <t>Programet</t>
  </si>
  <si>
    <t>Paga</t>
  </si>
  <si>
    <t>Mallra dhe Sherbime</t>
  </si>
  <si>
    <t>Totali                    Mallra &amp; Shërbime</t>
  </si>
  <si>
    <t xml:space="preserve">Shërbime Komunale </t>
  </si>
  <si>
    <t>Subvecione</t>
  </si>
  <si>
    <t>Totali Subvencione</t>
  </si>
  <si>
    <t xml:space="preserve">Investime kapitale </t>
  </si>
  <si>
    <t xml:space="preserve">Totali            Investimet kapitale </t>
  </si>
  <si>
    <t xml:space="preserve">Totali </t>
  </si>
  <si>
    <t>Totali i buxhetit</t>
  </si>
  <si>
    <t>Administrata  e përgjitshme</t>
  </si>
  <si>
    <t>Zyra e Kryetarit</t>
  </si>
  <si>
    <t>Administrata</t>
  </si>
  <si>
    <t xml:space="preserve">Qeshtjet Gjinore </t>
  </si>
  <si>
    <t>Inspektimet</t>
  </si>
  <si>
    <t>Zyra e Kuvendit Komunal</t>
  </si>
  <si>
    <t>Buxhetimi</t>
  </si>
  <si>
    <t>Infrastruktura publike</t>
  </si>
  <si>
    <t>Zjarrëfikësit dhe inspektimet</t>
  </si>
  <si>
    <t>Zyra e komuniteteve</t>
  </si>
  <si>
    <t>Bujqësia</t>
  </si>
  <si>
    <t>Planifikim I zhvillimit ekonomik</t>
  </si>
  <si>
    <t>Shërbimet kadastrale</t>
  </si>
  <si>
    <t>Planifikimi urban dhe inspeksioni</t>
  </si>
  <si>
    <t>Shërbimet sociale</t>
  </si>
  <si>
    <t>Shërbimet kulturore</t>
  </si>
  <si>
    <t>Administrata e Arsimit</t>
  </si>
  <si>
    <t xml:space="preserve">Shendetesia </t>
  </si>
  <si>
    <t>Shërbimet e shëndetësisë primare</t>
  </si>
  <si>
    <t>Arsim dhe Shkence</t>
  </si>
  <si>
    <t>Arsimi parashkollor dhe qerdhet</t>
  </si>
  <si>
    <t>Arsimi fillor</t>
  </si>
  <si>
    <t>Arsimi I mesëm</t>
  </si>
  <si>
    <t>BUXHETI 2023</t>
  </si>
  <si>
    <t>Totali                Mallra dhe Sherbime</t>
  </si>
  <si>
    <t xml:space="preserve">Sherbime Komunale </t>
  </si>
  <si>
    <t>BUXHETI 2024</t>
  </si>
  <si>
    <t>BUXHETI 2025</t>
  </si>
  <si>
    <t>Drejtoria për Financë dhe Buxhet-Odeljenje za Finansije i Budzet</t>
  </si>
  <si>
    <t>-Department of Finance and Budget</t>
  </si>
  <si>
    <t>BUXHETI 2026</t>
  </si>
  <si>
    <t>Komuna Rahovec /Opštine Orahovac / Municipal of Rahovec</t>
  </si>
  <si>
    <t>Buxheti sipas qarkores</t>
  </si>
  <si>
    <t xml:space="preserve">Të hyrat vetanake </t>
  </si>
  <si>
    <t>Mallra dhe Shërbime</t>
  </si>
  <si>
    <t xml:space="preserve">Çështjet Gjinore </t>
  </si>
  <si>
    <t>Zjarrfikësit dhe inspektimet</t>
  </si>
  <si>
    <t>Zyra e Komuniteteve</t>
  </si>
  <si>
    <t>Planifikim i zhvillimit ekonomik</t>
  </si>
  <si>
    <t xml:space="preserve">Shëndetësia </t>
  </si>
  <si>
    <t>Arsim dhe Shkencë</t>
  </si>
  <si>
    <t>Arsimi parashkollor dhe çerdhet</t>
  </si>
  <si>
    <t>Arsimi i mesëm</t>
  </si>
  <si>
    <t>Totali                Mallra dhe Shërbime</t>
  </si>
  <si>
    <t xml:space="preserve">Shërbime komunale </t>
  </si>
  <si>
    <t>Subvencione</t>
  </si>
  <si>
    <t xml:space="preserve">Totali            Investime kapitale </t>
  </si>
  <si>
    <t>Totali Mallra &amp; Shërbime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</si>
</sst>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/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10" fillId="0" borderId="0" xfId="0" applyFont="1" applyBorder="1"/>
    <xf numFmtId="43" fontId="10" fillId="0" borderId="0" xfId="1" applyFont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43" fontId="11" fillId="2" borderId="1" xfId="1" applyFont="1" applyFill="1" applyBorder="1"/>
    <xf numFmtId="0" fontId="13" fillId="0" borderId="1" xfId="0" applyFont="1" applyBorder="1" applyAlignment="1">
      <alignment wrapText="1"/>
    </xf>
    <xf numFmtId="43" fontId="13" fillId="0" borderId="1" xfId="1" applyFont="1" applyBorder="1"/>
    <xf numFmtId="43" fontId="13" fillId="0" borderId="1" xfId="1" applyFont="1" applyFill="1" applyBorder="1"/>
    <xf numFmtId="43" fontId="13" fillId="0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wrapText="1"/>
    </xf>
    <xf numFmtId="43" fontId="13" fillId="0" borderId="1" xfId="1" applyFont="1" applyFill="1" applyBorder="1" applyAlignment="1">
      <alignment horizontal="right"/>
    </xf>
    <xf numFmtId="4" fontId="13" fillId="0" borderId="1" xfId="1" applyNumberFormat="1" applyFont="1" applyFill="1" applyBorder="1"/>
    <xf numFmtId="43" fontId="15" fillId="0" borderId="1" xfId="1" applyFont="1" applyFill="1" applyBorder="1"/>
    <xf numFmtId="0" fontId="13" fillId="0" borderId="0" xfId="0" applyFont="1" applyAlignment="1">
      <alignment wrapText="1"/>
    </xf>
    <xf numFmtId="164" fontId="13" fillId="0" borderId="0" xfId="0" applyNumberFormat="1" applyFont="1"/>
    <xf numFmtId="43" fontId="13" fillId="0" borderId="0" xfId="0" applyNumberFormat="1" applyFont="1"/>
    <xf numFmtId="0" fontId="13" fillId="0" borderId="0" xfId="0" applyFont="1"/>
    <xf numFmtId="4" fontId="13" fillId="0" borderId="1" xfId="0" applyNumberFormat="1" applyFont="1" applyFill="1" applyBorder="1"/>
    <xf numFmtId="43" fontId="13" fillId="0" borderId="1" xfId="1" applyFont="1" applyFill="1" applyBorder="1" applyAlignment="1">
      <alignment horizontal="right" wrapText="1"/>
    </xf>
    <xf numFmtId="0" fontId="6" fillId="6" borderId="1" xfId="0" applyFont="1" applyFill="1" applyBorder="1" applyAlignment="1">
      <alignment horizontal="center" vertical="center"/>
    </xf>
    <xf numFmtId="43" fontId="17" fillId="0" borderId="1" xfId="1" applyFont="1" applyFill="1" applyBorder="1"/>
    <xf numFmtId="43" fontId="2" fillId="5" borderId="1" xfId="1" applyFont="1" applyFill="1" applyBorder="1"/>
    <xf numFmtId="43" fontId="13" fillId="5" borderId="1" xfId="1" applyFont="1" applyFill="1" applyBorder="1"/>
    <xf numFmtId="4" fontId="2" fillId="5" borderId="1" xfId="1" applyNumberFormat="1" applyFont="1" applyFill="1" applyBorder="1"/>
    <xf numFmtId="4" fontId="13" fillId="5" borderId="1" xfId="1" applyNumberFormat="1" applyFont="1" applyFill="1" applyBorder="1"/>
    <xf numFmtId="43" fontId="16" fillId="2" borderId="1" xfId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43" fontId="13" fillId="7" borderId="1" xfId="1" applyFont="1" applyFill="1" applyBorder="1"/>
    <xf numFmtId="0" fontId="11" fillId="3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43" fontId="16" fillId="5" borderId="1" xfId="1" applyFont="1" applyFill="1" applyBorder="1" applyAlignment="1">
      <alignment horizontal="center" vertical="center" wrapText="1"/>
    </xf>
    <xf numFmtId="0" fontId="0" fillId="5" borderId="0" xfId="0" applyFill="1"/>
    <xf numFmtId="4" fontId="13" fillId="0" borderId="1" xfId="2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0" fontId="14" fillId="0" borderId="0" xfId="0" applyNumberFormat="1" applyFont="1"/>
    <xf numFmtId="43" fontId="17" fillId="0" borderId="1" xfId="1" applyFont="1" applyFill="1" applyBorder="1" applyAlignment="1">
      <alignment horizontal="center"/>
    </xf>
    <xf numFmtId="43" fontId="16" fillId="2" borderId="1" xfId="1" applyFont="1" applyFill="1" applyBorder="1"/>
    <xf numFmtId="43" fontId="16" fillId="5" borderId="1" xfId="1" applyFont="1" applyFill="1" applyBorder="1"/>
    <xf numFmtId="43" fontId="20" fillId="0" borderId="1" xfId="1" applyFont="1" applyBorder="1" applyAlignment="1">
      <alignment horizontal="center" vertical="center" wrapText="1"/>
    </xf>
    <xf numFmtId="4" fontId="20" fillId="0" borderId="1" xfId="2" applyNumberFormat="1" applyFont="1" applyBorder="1" applyAlignment="1">
      <alignment horizontal="center" vertical="center" wrapText="1"/>
    </xf>
    <xf numFmtId="43" fontId="16" fillId="7" borderId="1" xfId="1" applyFont="1" applyFill="1" applyBorder="1" applyAlignment="1">
      <alignment horizontal="center" vertical="center" wrapText="1"/>
    </xf>
    <xf numFmtId="43" fontId="2" fillId="7" borderId="1" xfId="1" applyFont="1" applyFill="1" applyBorder="1" applyAlignment="1">
      <alignment horizontal="center" vertical="center" wrapText="1"/>
    </xf>
    <xf numFmtId="43" fontId="2" fillId="7" borderId="1" xfId="1" applyFont="1" applyFill="1" applyBorder="1"/>
    <xf numFmtId="0" fontId="2" fillId="5" borderId="4" xfId="0" applyFont="1" applyFill="1" applyBorder="1" applyAlignment="1">
      <alignment horizontal="center" vertical="center" wrapText="1"/>
    </xf>
    <xf numFmtId="43" fontId="16" fillId="7" borderId="1" xfId="1" applyFont="1" applyFill="1" applyBorder="1"/>
    <xf numFmtId="164" fontId="2" fillId="5" borderId="0" xfId="0" applyNumberFormat="1" applyFont="1" applyFill="1"/>
    <xf numFmtId="43" fontId="21" fillId="5" borderId="1" xfId="1" applyFont="1" applyFill="1" applyBorder="1" applyAlignment="1">
      <alignment horizontal="center" vertical="center" wrapText="1"/>
    </xf>
    <xf numFmtId="0" fontId="14" fillId="5" borderId="0" xfId="0" applyFont="1" applyFill="1"/>
    <xf numFmtId="4" fontId="21" fillId="5" borderId="1" xfId="2" applyNumberFormat="1" applyFont="1" applyFill="1" applyBorder="1" applyAlignment="1">
      <alignment horizontal="center" vertical="center" wrapText="1"/>
    </xf>
    <xf numFmtId="43" fontId="17" fillId="5" borderId="1" xfId="1" applyFont="1" applyFill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6" fillId="0" borderId="1" xfId="1" applyFont="1" applyBorder="1"/>
    <xf numFmtId="43" fontId="17" fillId="0" borderId="1" xfId="1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6" fillId="5" borderId="2" xfId="1" applyFont="1" applyFill="1" applyBorder="1" applyAlignment="1">
      <alignment horizontal="center"/>
    </xf>
    <xf numFmtId="43" fontId="6" fillId="5" borderId="3" xfId="1" applyFont="1" applyFill="1" applyBorder="1" applyAlignment="1">
      <alignment horizontal="center"/>
    </xf>
    <xf numFmtId="40" fontId="19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7" fillId="6" borderId="2" xfId="1" applyFont="1" applyFill="1" applyBorder="1" applyAlignment="1">
      <alignment horizontal="center" vertical="center"/>
    </xf>
    <xf numFmtId="43" fontId="7" fillId="6" borderId="3" xfId="1" applyFont="1" applyFill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43" fontId="6" fillId="0" borderId="3" xfId="0" applyNumberFormat="1" applyFont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13" fillId="0" borderId="0" xfId="0" applyFont="1" applyBorder="1" applyAlignment="1">
      <alignment wrapText="1"/>
    </xf>
    <xf numFmtId="43" fontId="13" fillId="0" borderId="0" xfId="1" applyFont="1" applyBorder="1"/>
    <xf numFmtId="43" fontId="13" fillId="0" borderId="0" xfId="1" applyFont="1" applyFill="1" applyBorder="1"/>
    <xf numFmtId="4" fontId="13" fillId="0" borderId="0" xfId="1" applyNumberFormat="1" applyFont="1" applyFill="1" applyBorder="1"/>
    <xf numFmtId="43" fontId="17" fillId="0" borderId="0" xfId="1" applyFont="1" applyFill="1" applyBorder="1"/>
    <xf numFmtId="43" fontId="13" fillId="0" borderId="0" xfId="1" applyFont="1" applyFill="1" applyBorder="1" applyAlignment="1">
      <alignment horizontal="center"/>
    </xf>
    <xf numFmtId="43" fontId="2" fillId="0" borderId="0" xfId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</xdr:row>
      <xdr:rowOff>171450</xdr:rowOff>
    </xdr:from>
    <xdr:to>
      <xdr:col>0</xdr:col>
      <xdr:colOff>1200150</xdr:colOff>
      <xdr:row>6</xdr:row>
      <xdr:rowOff>133350</xdr:rowOff>
    </xdr:to>
    <xdr:pic>
      <xdr:nvPicPr>
        <xdr:cNvPr id="2" name="Picture 2" descr="ambl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552450"/>
          <a:ext cx="92392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851190</xdr:colOff>
      <xdr:row>3</xdr:row>
      <xdr:rowOff>38965</xdr:rowOff>
    </xdr:from>
    <xdr:to>
      <xdr:col>12</xdr:col>
      <xdr:colOff>614152</xdr:colOff>
      <xdr:row>6</xdr:row>
      <xdr:rowOff>134215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6" y="610465"/>
          <a:ext cx="862667" cy="692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276223</xdr:colOff>
      <xdr:row>0</xdr:row>
      <xdr:rowOff>0</xdr:rowOff>
    </xdr:from>
    <xdr:to>
      <xdr:col>0</xdr:col>
      <xdr:colOff>1645226</xdr:colOff>
      <xdr:row>5</xdr:row>
      <xdr:rowOff>133350</xdr:rowOff>
    </xdr:to>
    <xdr:pic>
      <xdr:nvPicPr>
        <xdr:cNvPr id="2" name="Picture 2" descr="amblem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" y="128647"/>
          <a:ext cx="1369003" cy="130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259773</xdr:colOff>
      <xdr:row>0</xdr:row>
      <xdr:rowOff>0</xdr:rowOff>
    </xdr:from>
    <xdr:to>
      <xdr:col>12</xdr:col>
      <xdr:colOff>770660</xdr:colOff>
      <xdr:row>5</xdr:row>
      <xdr:rowOff>115588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78034"/>
          <a:ext cx="1385455" cy="14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7"/>
  <sheetViews>
    <sheetView topLeftCell="A59" zoomScale="110" zoomScaleNormal="110" workbookViewId="0">
      <selection activeCell="B54" sqref="B54"/>
    </sheetView>
  </sheetViews>
  <sheetFormatPr defaultRowHeight="15" x14ac:dyDescent="0.25"/>
  <cols>
    <col min="1" max="1" width="30.5703125" customWidth="1"/>
    <col min="2" max="4" width="13.5703125" customWidth="1"/>
    <col min="5" max="5" width="14.85546875" customWidth="1"/>
    <col min="6" max="6" width="11" customWidth="1"/>
    <col min="7" max="7" width="11.140625" customWidth="1"/>
    <col min="8" max="8" width="12.140625" bestFit="1" customWidth="1"/>
    <col min="9" max="9" width="13.42578125" customWidth="1"/>
    <col min="10" max="10" width="13.140625" bestFit="1" customWidth="1"/>
    <col min="11" max="11" width="12.42578125" customWidth="1"/>
    <col min="12" max="12" width="13.140625" customWidth="1"/>
    <col min="13" max="13" width="13.5703125" bestFit="1" customWidth="1"/>
    <col min="14" max="14" width="13.28515625" bestFit="1" customWidth="1"/>
    <col min="15" max="15" width="12.28515625" bestFit="1" customWidth="1"/>
  </cols>
  <sheetData>
    <row r="4" spans="1:12" ht="18.75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8.75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ht="18.75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25">
      <c r="A7" s="87" t="s">
        <v>53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9" spans="1:12" ht="28.5" customHeight="1" x14ac:dyDescent="0.25"/>
    <row r="10" spans="1:12" ht="30" customHeight="1" x14ac:dyDescent="0.3">
      <c r="A10" s="88" t="s">
        <v>2</v>
      </c>
      <c r="B10" s="88"/>
      <c r="C10" s="88"/>
      <c r="D10" s="88"/>
      <c r="E10" s="1"/>
      <c r="F10" s="1"/>
    </row>
    <row r="11" spans="1:12" ht="30" customHeight="1" x14ac:dyDescent="0.3">
      <c r="A11" s="2"/>
      <c r="B11" s="85">
        <v>2023</v>
      </c>
      <c r="C11" s="85"/>
      <c r="D11" s="85">
        <v>2024</v>
      </c>
      <c r="E11" s="85"/>
      <c r="F11" s="85">
        <v>2025</v>
      </c>
      <c r="G11" s="85"/>
      <c r="H11" s="85">
        <v>2026</v>
      </c>
      <c r="I11" s="85"/>
    </row>
    <row r="12" spans="1:12" ht="35.1" customHeight="1" x14ac:dyDescent="0.25">
      <c r="A12" s="3" t="s">
        <v>3</v>
      </c>
      <c r="B12" s="89">
        <f>B13+B14</f>
        <v>17548240</v>
      </c>
      <c r="C12" s="89"/>
      <c r="D12" s="89">
        <f>D13+D14</f>
        <v>20034785</v>
      </c>
      <c r="E12" s="89"/>
      <c r="F12" s="89">
        <f>F13+F14</f>
        <v>21044790</v>
      </c>
      <c r="G12" s="89"/>
      <c r="H12" s="89">
        <f>H13+H14</f>
        <v>22079911</v>
      </c>
      <c r="I12" s="89"/>
    </row>
    <row r="13" spans="1:12" ht="35.1" customHeight="1" x14ac:dyDescent="0.25">
      <c r="A13" s="45" t="s">
        <v>4</v>
      </c>
      <c r="B13" s="90">
        <v>1445603</v>
      </c>
      <c r="C13" s="90"/>
      <c r="D13" s="90">
        <v>1614904</v>
      </c>
      <c r="E13" s="90"/>
      <c r="F13" s="90">
        <v>1677349</v>
      </c>
      <c r="G13" s="90"/>
      <c r="H13" s="90">
        <v>1760591</v>
      </c>
      <c r="I13" s="90"/>
    </row>
    <row r="14" spans="1:12" ht="35.1" customHeight="1" x14ac:dyDescent="0.25">
      <c r="A14" s="4" t="s">
        <v>5</v>
      </c>
      <c r="B14" s="91">
        <f>SUM(B15:B19)</f>
        <v>16102637</v>
      </c>
      <c r="C14" s="91"/>
      <c r="D14" s="91">
        <f>SUM(D15:D19)</f>
        <v>18419881</v>
      </c>
      <c r="E14" s="91"/>
      <c r="F14" s="91">
        <f>SUM(F15:F19)</f>
        <v>19367441</v>
      </c>
      <c r="G14" s="91"/>
      <c r="H14" s="91">
        <f>SUM(H15:H19)</f>
        <v>20319320</v>
      </c>
      <c r="I14" s="91"/>
    </row>
    <row r="15" spans="1:12" ht="35.1" customHeight="1" x14ac:dyDescent="0.3">
      <c r="A15" s="5" t="s">
        <v>6</v>
      </c>
      <c r="B15" s="92">
        <v>7605075</v>
      </c>
      <c r="C15" s="92"/>
      <c r="D15" s="92">
        <v>8486139</v>
      </c>
      <c r="E15" s="92"/>
      <c r="F15" s="92">
        <v>9122735</v>
      </c>
      <c r="G15" s="92"/>
      <c r="H15" s="92">
        <v>9720884</v>
      </c>
      <c r="I15" s="92"/>
    </row>
    <row r="16" spans="1:12" ht="35.1" customHeight="1" x14ac:dyDescent="0.3">
      <c r="A16" s="5" t="s">
        <v>7</v>
      </c>
      <c r="B16" s="92">
        <v>2600038</v>
      </c>
      <c r="C16" s="92"/>
      <c r="D16" s="92">
        <v>2536204</v>
      </c>
      <c r="E16" s="92"/>
      <c r="F16" s="92">
        <v>2663014</v>
      </c>
      <c r="G16" s="92"/>
      <c r="H16" s="92">
        <v>2796165</v>
      </c>
      <c r="I16" s="92"/>
    </row>
    <row r="17" spans="1:13" ht="35.1" customHeight="1" x14ac:dyDescent="0.3">
      <c r="A17" s="5" t="s">
        <v>8</v>
      </c>
      <c r="B17" s="92">
        <v>5872245</v>
      </c>
      <c r="C17" s="92"/>
      <c r="D17" s="92">
        <v>7138467</v>
      </c>
      <c r="E17" s="92"/>
      <c r="F17" s="92">
        <v>7352621</v>
      </c>
      <c r="G17" s="92"/>
      <c r="H17" s="92">
        <v>7573200</v>
      </c>
      <c r="I17" s="92"/>
    </row>
    <row r="18" spans="1:13" ht="35.1" customHeight="1" x14ac:dyDescent="0.3">
      <c r="A18" s="5" t="s">
        <v>9</v>
      </c>
      <c r="B18" s="93">
        <v>0</v>
      </c>
      <c r="C18" s="94"/>
      <c r="D18" s="93">
        <v>230000</v>
      </c>
      <c r="E18" s="94"/>
      <c r="F18" s="93">
        <v>200000</v>
      </c>
      <c r="G18" s="94"/>
      <c r="H18" s="93">
        <v>200000</v>
      </c>
      <c r="I18" s="94"/>
    </row>
    <row r="19" spans="1:13" ht="35.1" customHeight="1" x14ac:dyDescent="0.3">
      <c r="A19" s="6" t="s">
        <v>10</v>
      </c>
      <c r="B19" s="95">
        <v>25279</v>
      </c>
      <c r="C19" s="95"/>
      <c r="D19" s="95">
        <v>29071</v>
      </c>
      <c r="E19" s="95"/>
      <c r="F19" s="95">
        <v>29071</v>
      </c>
      <c r="G19" s="95"/>
      <c r="H19" s="95">
        <v>29071</v>
      </c>
      <c r="I19" s="95"/>
    </row>
    <row r="20" spans="1:13" ht="24" customHeight="1" x14ac:dyDescent="0.25">
      <c r="A20" s="7"/>
      <c r="B20" s="8"/>
      <c r="C20" s="8"/>
      <c r="D20" s="8"/>
    </row>
    <row r="21" spans="1:13" ht="24" customHeight="1" x14ac:dyDescent="0.25">
      <c r="A21" s="9" t="s">
        <v>47</v>
      </c>
      <c r="B21" s="9"/>
      <c r="C21" s="9" t="s">
        <v>11</v>
      </c>
      <c r="D21" s="9" t="s">
        <v>12</v>
      </c>
      <c r="E21" s="9"/>
      <c r="F21" s="9"/>
      <c r="G21" s="9" t="s">
        <v>11</v>
      </c>
      <c r="H21" s="9" t="s">
        <v>12</v>
      </c>
      <c r="I21" s="9"/>
      <c r="J21" s="9" t="s">
        <v>11</v>
      </c>
      <c r="K21" s="9" t="s">
        <v>12</v>
      </c>
      <c r="L21" s="10"/>
      <c r="M21" s="10"/>
    </row>
    <row r="22" spans="1:13" ht="24" customHeight="1" x14ac:dyDescent="0.25">
      <c r="A22" s="11" t="s">
        <v>13</v>
      </c>
      <c r="B22" s="12" t="s">
        <v>14</v>
      </c>
      <c r="C22" s="13" t="s">
        <v>15</v>
      </c>
      <c r="D22" s="14"/>
      <c r="E22" s="15" t="s">
        <v>16</v>
      </c>
      <c r="F22" s="12" t="s">
        <v>17</v>
      </c>
      <c r="G22" s="13" t="s">
        <v>18</v>
      </c>
      <c r="H22" s="14"/>
      <c r="I22" s="16" t="s">
        <v>19</v>
      </c>
      <c r="J22" s="13" t="s">
        <v>20</v>
      </c>
      <c r="K22" s="14"/>
      <c r="L22" s="15" t="s">
        <v>21</v>
      </c>
      <c r="M22" s="17" t="s">
        <v>22</v>
      </c>
    </row>
    <row r="23" spans="1:13" ht="24" customHeight="1" x14ac:dyDescent="0.25">
      <c r="A23" s="18" t="s">
        <v>23</v>
      </c>
      <c r="B23" s="19">
        <f t="shared" ref="B23:M23" si="0">B26+B43+B45</f>
        <v>8503088</v>
      </c>
      <c r="C23" s="19">
        <f t="shared" si="0"/>
        <v>2088629</v>
      </c>
      <c r="D23" s="19">
        <f t="shared" si="0"/>
        <v>115200</v>
      </c>
      <c r="E23" s="19">
        <f t="shared" si="0"/>
        <v>2203829</v>
      </c>
      <c r="F23" s="19">
        <f t="shared" si="0"/>
        <v>370000</v>
      </c>
      <c r="G23" s="19">
        <f t="shared" si="0"/>
        <v>10000</v>
      </c>
      <c r="H23" s="19">
        <f t="shared" si="0"/>
        <v>810000</v>
      </c>
      <c r="I23" s="19">
        <f t="shared" si="0"/>
        <v>820000</v>
      </c>
      <c r="J23" s="19">
        <f t="shared" si="0"/>
        <v>5130920</v>
      </c>
      <c r="K23" s="19">
        <f t="shared" si="0"/>
        <v>520403</v>
      </c>
      <c r="L23" s="19">
        <f t="shared" si="0"/>
        <v>5651323</v>
      </c>
      <c r="M23" s="19">
        <f t="shared" si="0"/>
        <v>17548240</v>
      </c>
    </row>
    <row r="24" spans="1:13" ht="24" customHeight="1" x14ac:dyDescent="0.25">
      <c r="A24" s="56"/>
      <c r="B24" s="57">
        <v>8503088</v>
      </c>
      <c r="C24" s="57"/>
      <c r="D24" s="57"/>
      <c r="E24" s="57">
        <v>2203829</v>
      </c>
      <c r="F24" s="57">
        <v>370000</v>
      </c>
      <c r="G24" s="57"/>
      <c r="H24" s="57"/>
      <c r="I24" s="57">
        <v>820000</v>
      </c>
      <c r="J24" s="57"/>
      <c r="K24" s="57"/>
      <c r="L24" s="57">
        <v>5651323</v>
      </c>
      <c r="M24" s="57">
        <f>B24+E24+F24+I24+L24</f>
        <v>17548240</v>
      </c>
    </row>
    <row r="25" spans="1:13" ht="24" customHeight="1" x14ac:dyDescent="0.25">
      <c r="A25" s="20"/>
      <c r="B25" s="21">
        <f>B23-B24</f>
        <v>0</v>
      </c>
      <c r="C25" s="21"/>
      <c r="D25" s="21"/>
      <c r="E25" s="21">
        <f>E23-E24</f>
        <v>0</v>
      </c>
      <c r="F25" s="21">
        <f>F23-F24</f>
        <v>0</v>
      </c>
      <c r="G25" s="21"/>
      <c r="H25" s="21"/>
      <c r="I25" s="21">
        <f>I23-I24</f>
        <v>0</v>
      </c>
      <c r="J25" s="21"/>
      <c r="K25" s="21"/>
      <c r="L25" s="21">
        <f>L23-L24</f>
        <v>0</v>
      </c>
      <c r="M25" s="21">
        <f>M23-M24</f>
        <v>0</v>
      </c>
    </row>
    <row r="26" spans="1:13" ht="24" customHeight="1" x14ac:dyDescent="0.25">
      <c r="A26" s="23" t="s">
        <v>24</v>
      </c>
      <c r="B26" s="24">
        <f t="shared" ref="B26:M26" si="1">SUM(B27:B42)</f>
        <v>1352486</v>
      </c>
      <c r="C26" s="24">
        <f t="shared" si="1"/>
        <v>1334830</v>
      </c>
      <c r="D26" s="24">
        <f t="shared" si="1"/>
        <v>93000</v>
      </c>
      <c r="E26" s="24">
        <f t="shared" si="1"/>
        <v>1427830</v>
      </c>
      <c r="F26" s="24">
        <f t="shared" si="1"/>
        <v>220000</v>
      </c>
      <c r="G26" s="24">
        <f t="shared" si="1"/>
        <v>0</v>
      </c>
      <c r="H26" s="24">
        <f t="shared" si="1"/>
        <v>730000</v>
      </c>
      <c r="I26" s="24">
        <f t="shared" si="1"/>
        <v>730000</v>
      </c>
      <c r="J26" s="24">
        <f t="shared" si="1"/>
        <v>4534948</v>
      </c>
      <c r="K26" s="24">
        <f t="shared" si="1"/>
        <v>520403</v>
      </c>
      <c r="L26" s="24">
        <f t="shared" si="1"/>
        <v>5055351</v>
      </c>
      <c r="M26" s="24">
        <f t="shared" si="1"/>
        <v>8785667</v>
      </c>
    </row>
    <row r="27" spans="1:13" ht="24" customHeight="1" x14ac:dyDescent="0.25">
      <c r="A27" s="25" t="s">
        <v>25</v>
      </c>
      <c r="B27" s="26">
        <v>178520</v>
      </c>
      <c r="C27" s="26">
        <v>55000</v>
      </c>
      <c r="D27" s="26"/>
      <c r="E27" s="27">
        <f t="shared" ref="E27:E42" si="2">SUM(C27:D27)</f>
        <v>55000</v>
      </c>
      <c r="F27" s="27"/>
      <c r="G27" s="27"/>
      <c r="H27" s="27">
        <v>160000</v>
      </c>
      <c r="I27" s="27">
        <f t="shared" ref="I27:I42" si="3">G27+H27</f>
        <v>160000</v>
      </c>
      <c r="J27" s="27">
        <v>0</v>
      </c>
      <c r="K27" s="27">
        <v>0</v>
      </c>
      <c r="L27" s="28">
        <f t="shared" ref="L27:L42" si="4">SUM(J27:K27)</f>
        <v>0</v>
      </c>
      <c r="M27" s="29">
        <f t="shared" ref="M27:M42" si="5">+B27+E27+F27+I27+L27</f>
        <v>393520</v>
      </c>
    </row>
    <row r="28" spans="1:13" ht="24" customHeight="1" x14ac:dyDescent="0.25">
      <c r="A28" s="25" t="s">
        <v>26</v>
      </c>
      <c r="B28" s="26">
        <v>217362</v>
      </c>
      <c r="C28" s="26">
        <v>147830</v>
      </c>
      <c r="D28" s="26">
        <v>28000</v>
      </c>
      <c r="E28" s="27">
        <f t="shared" si="2"/>
        <v>175830</v>
      </c>
      <c r="F28" s="27"/>
      <c r="G28" s="27"/>
      <c r="H28" s="27"/>
      <c r="I28" s="27">
        <f t="shared" si="3"/>
        <v>0</v>
      </c>
      <c r="J28" s="27">
        <v>23000</v>
      </c>
      <c r="K28" s="27">
        <v>5000</v>
      </c>
      <c r="L28" s="28">
        <f t="shared" si="4"/>
        <v>28000</v>
      </c>
      <c r="M28" s="29">
        <f t="shared" si="5"/>
        <v>421192</v>
      </c>
    </row>
    <row r="29" spans="1:13" ht="24" customHeight="1" x14ac:dyDescent="0.25">
      <c r="A29" s="25" t="s">
        <v>27</v>
      </c>
      <c r="B29" s="26">
        <v>5308</v>
      </c>
      <c r="C29" s="26">
        <v>2000</v>
      </c>
      <c r="D29" s="26"/>
      <c r="E29" s="27">
        <f t="shared" si="2"/>
        <v>2000</v>
      </c>
      <c r="F29" s="27"/>
      <c r="G29" s="27"/>
      <c r="H29" s="27"/>
      <c r="I29" s="27">
        <f t="shared" si="3"/>
        <v>0</v>
      </c>
      <c r="J29" s="27">
        <v>0</v>
      </c>
      <c r="K29" s="27">
        <v>0</v>
      </c>
      <c r="L29" s="28">
        <f t="shared" si="4"/>
        <v>0</v>
      </c>
      <c r="M29" s="29">
        <f t="shared" si="5"/>
        <v>7308</v>
      </c>
    </row>
    <row r="30" spans="1:13" ht="24" customHeight="1" x14ac:dyDescent="0.25">
      <c r="A30" s="25" t="s">
        <v>28</v>
      </c>
      <c r="B30" s="26">
        <v>71454</v>
      </c>
      <c r="C30" s="26">
        <v>15000</v>
      </c>
      <c r="D30" s="26"/>
      <c r="E30" s="27">
        <f t="shared" si="2"/>
        <v>15000</v>
      </c>
      <c r="F30" s="27"/>
      <c r="G30" s="27"/>
      <c r="H30" s="27"/>
      <c r="I30" s="27">
        <f t="shared" si="3"/>
        <v>0</v>
      </c>
      <c r="J30" s="27">
        <v>0</v>
      </c>
      <c r="K30" s="27">
        <v>0</v>
      </c>
      <c r="L30" s="28">
        <f t="shared" si="4"/>
        <v>0</v>
      </c>
      <c r="M30" s="29">
        <f t="shared" si="5"/>
        <v>86454</v>
      </c>
    </row>
    <row r="31" spans="1:13" ht="24" customHeight="1" x14ac:dyDescent="0.25">
      <c r="A31" s="25" t="s">
        <v>29</v>
      </c>
      <c r="B31" s="26">
        <v>107126</v>
      </c>
      <c r="C31" s="26">
        <v>17000</v>
      </c>
      <c r="D31" s="26"/>
      <c r="E31" s="27">
        <f t="shared" si="2"/>
        <v>17000</v>
      </c>
      <c r="F31" s="27"/>
      <c r="G31" s="27"/>
      <c r="H31" s="27"/>
      <c r="I31" s="27">
        <f t="shared" si="3"/>
        <v>0</v>
      </c>
      <c r="J31" s="27">
        <v>0</v>
      </c>
      <c r="K31" s="27">
        <v>0</v>
      </c>
      <c r="L31" s="28">
        <f t="shared" si="4"/>
        <v>0</v>
      </c>
      <c r="M31" s="29">
        <f t="shared" si="5"/>
        <v>124126</v>
      </c>
    </row>
    <row r="32" spans="1:13" ht="24" customHeight="1" x14ac:dyDescent="0.25">
      <c r="A32" s="30" t="s">
        <v>30</v>
      </c>
      <c r="B32" s="26">
        <v>100202</v>
      </c>
      <c r="C32" s="26">
        <v>220000</v>
      </c>
      <c r="D32" s="27">
        <v>30000</v>
      </c>
      <c r="E32" s="27">
        <f t="shared" si="2"/>
        <v>250000</v>
      </c>
      <c r="F32" s="27"/>
      <c r="G32" s="27"/>
      <c r="H32" s="27"/>
      <c r="I32" s="27">
        <f t="shared" si="3"/>
        <v>0</v>
      </c>
      <c r="J32" s="27">
        <v>142000</v>
      </c>
      <c r="K32" s="27">
        <v>47000</v>
      </c>
      <c r="L32" s="28">
        <f t="shared" si="4"/>
        <v>189000</v>
      </c>
      <c r="M32" s="29">
        <f t="shared" si="5"/>
        <v>539202</v>
      </c>
    </row>
    <row r="33" spans="1:15" ht="24" customHeight="1" x14ac:dyDescent="0.25">
      <c r="A33" s="25" t="s">
        <v>31</v>
      </c>
      <c r="B33" s="26">
        <v>27650</v>
      </c>
      <c r="C33" s="26">
        <f>390000+70000</f>
        <v>460000</v>
      </c>
      <c r="D33" s="26">
        <v>35000</v>
      </c>
      <c r="E33" s="27">
        <f t="shared" si="2"/>
        <v>495000</v>
      </c>
      <c r="F33" s="27">
        <v>216000</v>
      </c>
      <c r="G33" s="27"/>
      <c r="H33" s="27"/>
      <c r="I33" s="27">
        <f t="shared" si="3"/>
        <v>0</v>
      </c>
      <c r="J33" s="27">
        <v>890000</v>
      </c>
      <c r="K33" s="27">
        <v>80000</v>
      </c>
      <c r="L33" s="28">
        <f t="shared" si="4"/>
        <v>970000</v>
      </c>
      <c r="M33" s="29">
        <f t="shared" si="5"/>
        <v>1708650</v>
      </c>
    </row>
    <row r="34" spans="1:15" ht="24" customHeight="1" x14ac:dyDescent="0.25">
      <c r="A34" s="25" t="s">
        <v>32</v>
      </c>
      <c r="B34" s="26">
        <v>149328</v>
      </c>
      <c r="C34" s="26">
        <v>15000</v>
      </c>
      <c r="D34" s="26"/>
      <c r="E34" s="27">
        <f t="shared" si="2"/>
        <v>15000</v>
      </c>
      <c r="F34" s="27"/>
      <c r="G34" s="27"/>
      <c r="H34" s="27"/>
      <c r="I34" s="27">
        <f t="shared" si="3"/>
        <v>0</v>
      </c>
      <c r="J34" s="27">
        <v>0</v>
      </c>
      <c r="K34" s="27"/>
      <c r="L34" s="28">
        <f t="shared" si="4"/>
        <v>0</v>
      </c>
      <c r="M34" s="29">
        <f t="shared" si="5"/>
        <v>164328</v>
      </c>
    </row>
    <row r="35" spans="1:15" ht="24" customHeight="1" x14ac:dyDescent="0.25">
      <c r="A35" s="25" t="s">
        <v>33</v>
      </c>
      <c r="B35" s="26">
        <v>58850</v>
      </c>
      <c r="C35" s="26">
        <v>15000</v>
      </c>
      <c r="D35" s="26"/>
      <c r="E35" s="27">
        <f t="shared" si="2"/>
        <v>15000</v>
      </c>
      <c r="F35" s="27"/>
      <c r="G35" s="27"/>
      <c r="H35" s="27"/>
      <c r="I35" s="27">
        <f t="shared" si="3"/>
        <v>0</v>
      </c>
      <c r="J35" s="27">
        <v>0</v>
      </c>
      <c r="K35" s="27">
        <v>20000</v>
      </c>
      <c r="L35" s="28">
        <f t="shared" si="4"/>
        <v>20000</v>
      </c>
      <c r="M35" s="29">
        <f t="shared" si="5"/>
        <v>93850</v>
      </c>
    </row>
    <row r="36" spans="1:15" ht="24" customHeight="1" x14ac:dyDescent="0.25">
      <c r="A36" s="25" t="s">
        <v>34</v>
      </c>
      <c r="B36" s="26">
        <v>65162</v>
      </c>
      <c r="C36" s="26">
        <v>60000</v>
      </c>
      <c r="D36" s="26"/>
      <c r="E36" s="27">
        <f t="shared" si="2"/>
        <v>60000</v>
      </c>
      <c r="F36" s="27"/>
      <c r="G36" s="27"/>
      <c r="H36" s="27">
        <v>440000</v>
      </c>
      <c r="I36" s="27">
        <f t="shared" si="3"/>
        <v>440000</v>
      </c>
      <c r="J36" s="27">
        <v>970000</v>
      </c>
      <c r="K36" s="27">
        <v>115000</v>
      </c>
      <c r="L36" s="28">
        <f t="shared" si="4"/>
        <v>1085000</v>
      </c>
      <c r="M36" s="29">
        <f t="shared" si="5"/>
        <v>1650162</v>
      </c>
    </row>
    <row r="37" spans="1:15" ht="24" customHeight="1" x14ac:dyDescent="0.25">
      <c r="A37" s="25" t="s">
        <v>35</v>
      </c>
      <c r="B37" s="26">
        <v>43928</v>
      </c>
      <c r="C37" s="26">
        <v>17000</v>
      </c>
      <c r="D37" s="26"/>
      <c r="E37" s="27">
        <f t="shared" si="2"/>
        <v>17000</v>
      </c>
      <c r="F37" s="27"/>
      <c r="G37" s="27"/>
      <c r="H37" s="27">
        <v>20000</v>
      </c>
      <c r="I37" s="27">
        <f t="shared" si="3"/>
        <v>20000</v>
      </c>
      <c r="J37" s="27">
        <v>78000</v>
      </c>
      <c r="K37" s="27">
        <v>80000</v>
      </c>
      <c r="L37" s="28">
        <f t="shared" si="4"/>
        <v>158000</v>
      </c>
      <c r="M37" s="29">
        <f t="shared" si="5"/>
        <v>238928</v>
      </c>
    </row>
    <row r="38" spans="1:15" ht="34.5" customHeight="1" x14ac:dyDescent="0.25">
      <c r="A38" s="25" t="s">
        <v>36</v>
      </c>
      <c r="B38" s="26">
        <v>64368</v>
      </c>
      <c r="C38" s="26">
        <v>16000</v>
      </c>
      <c r="D38" s="26"/>
      <c r="E38" s="27">
        <f t="shared" si="2"/>
        <v>16000</v>
      </c>
      <c r="F38" s="27"/>
      <c r="G38" s="27"/>
      <c r="H38" s="27"/>
      <c r="I38" s="27">
        <f t="shared" si="3"/>
        <v>0</v>
      </c>
      <c r="J38" s="27">
        <v>0</v>
      </c>
      <c r="K38" s="27">
        <v>0</v>
      </c>
      <c r="L38" s="28">
        <f t="shared" si="4"/>
        <v>0</v>
      </c>
      <c r="M38" s="29">
        <f t="shared" si="5"/>
        <v>80368</v>
      </c>
    </row>
    <row r="39" spans="1:15" x14ac:dyDescent="0.25">
      <c r="A39" s="25" t="s">
        <v>37</v>
      </c>
      <c r="B39" s="26">
        <v>40754</v>
      </c>
      <c r="C39" s="26">
        <v>180000</v>
      </c>
      <c r="D39" s="26"/>
      <c r="E39" s="27">
        <f t="shared" si="2"/>
        <v>180000</v>
      </c>
      <c r="F39" s="27"/>
      <c r="G39" s="27"/>
      <c r="H39" s="27"/>
      <c r="I39" s="27">
        <f t="shared" si="3"/>
        <v>0</v>
      </c>
      <c r="J39" s="27">
        <v>1390000</v>
      </c>
      <c r="K39" s="27">
        <v>10000</v>
      </c>
      <c r="L39" s="28">
        <f t="shared" si="4"/>
        <v>1400000</v>
      </c>
      <c r="M39" s="29">
        <f t="shared" si="5"/>
        <v>1620754</v>
      </c>
    </row>
    <row r="40" spans="1:15" x14ac:dyDescent="0.25">
      <c r="A40" s="25" t="s">
        <v>38</v>
      </c>
      <c r="B40" s="26">
        <v>101284</v>
      </c>
      <c r="C40" s="26">
        <v>10000</v>
      </c>
      <c r="D40" s="26"/>
      <c r="E40" s="27">
        <f t="shared" si="2"/>
        <v>10000</v>
      </c>
      <c r="F40" s="36">
        <v>4000</v>
      </c>
      <c r="G40" s="36"/>
      <c r="H40" s="27"/>
      <c r="I40" s="27">
        <f t="shared" si="3"/>
        <v>0</v>
      </c>
      <c r="J40" s="27"/>
      <c r="K40" s="27"/>
      <c r="L40" s="28">
        <f t="shared" si="4"/>
        <v>0</v>
      </c>
      <c r="M40" s="29">
        <f t="shared" si="5"/>
        <v>115284</v>
      </c>
    </row>
    <row r="41" spans="1:15" x14ac:dyDescent="0.25">
      <c r="A41" s="25" t="s">
        <v>39</v>
      </c>
      <c r="B41" s="26">
        <v>67370</v>
      </c>
      <c r="C41" s="26">
        <v>50000</v>
      </c>
      <c r="D41" s="26"/>
      <c r="E41" s="27">
        <f t="shared" si="2"/>
        <v>50000</v>
      </c>
      <c r="F41" s="27"/>
      <c r="G41" s="27"/>
      <c r="H41" s="27">
        <v>110000</v>
      </c>
      <c r="I41" s="27">
        <f t="shared" si="3"/>
        <v>110000</v>
      </c>
      <c r="J41" s="27">
        <v>371948</v>
      </c>
      <c r="K41" s="27">
        <v>143403</v>
      </c>
      <c r="L41" s="28">
        <f t="shared" si="4"/>
        <v>515351</v>
      </c>
      <c r="M41" s="29">
        <f t="shared" si="5"/>
        <v>742721</v>
      </c>
    </row>
    <row r="42" spans="1:15" x14ac:dyDescent="0.25">
      <c r="A42" s="25" t="s">
        <v>40</v>
      </c>
      <c r="B42" s="26">
        <v>53820</v>
      </c>
      <c r="C42" s="26">
        <v>55000</v>
      </c>
      <c r="D42" s="26"/>
      <c r="E42" s="27">
        <f t="shared" si="2"/>
        <v>55000</v>
      </c>
      <c r="F42" s="27"/>
      <c r="G42" s="27"/>
      <c r="H42" s="27"/>
      <c r="I42" s="27">
        <f t="shared" si="3"/>
        <v>0</v>
      </c>
      <c r="J42" s="27">
        <v>670000</v>
      </c>
      <c r="K42" s="27">
        <v>20000</v>
      </c>
      <c r="L42" s="28">
        <f t="shared" si="4"/>
        <v>690000</v>
      </c>
      <c r="M42" s="29">
        <f t="shared" si="5"/>
        <v>798820</v>
      </c>
    </row>
    <row r="43" spans="1:15" ht="21" customHeight="1" x14ac:dyDescent="0.25">
      <c r="A43" s="31" t="s">
        <v>41</v>
      </c>
      <c r="B43" s="32">
        <f t="shared" ref="B43:L43" si="6">SUM(B44)</f>
        <v>1502066</v>
      </c>
      <c r="C43" s="32">
        <f t="shared" si="6"/>
        <v>450484</v>
      </c>
      <c r="D43" s="32">
        <f t="shared" si="6"/>
        <v>0</v>
      </c>
      <c r="E43" s="32">
        <f t="shared" si="6"/>
        <v>450484</v>
      </c>
      <c r="F43" s="32">
        <f t="shared" si="6"/>
        <v>80000</v>
      </c>
      <c r="G43" s="32">
        <f t="shared" si="6"/>
        <v>10000</v>
      </c>
      <c r="H43" s="32">
        <f t="shared" si="6"/>
        <v>80000</v>
      </c>
      <c r="I43" s="32">
        <f t="shared" si="6"/>
        <v>90000</v>
      </c>
      <c r="J43" s="32">
        <f t="shared" si="6"/>
        <v>595972</v>
      </c>
      <c r="K43" s="32">
        <f t="shared" si="6"/>
        <v>0</v>
      </c>
      <c r="L43" s="32">
        <f t="shared" si="6"/>
        <v>595972</v>
      </c>
      <c r="M43" s="32">
        <f t="shared" ref="M43" si="7">SUM(M44)</f>
        <v>2718522</v>
      </c>
    </row>
    <row r="44" spans="1:15" ht="21" customHeight="1" x14ac:dyDescent="0.25">
      <c r="A44" s="30" t="s">
        <v>42</v>
      </c>
      <c r="B44" s="27">
        <v>1502066</v>
      </c>
      <c r="C44" s="26">
        <v>450484</v>
      </c>
      <c r="D44" s="27"/>
      <c r="E44" s="27">
        <f>SUM(C44:D44)</f>
        <v>450484</v>
      </c>
      <c r="F44" s="36">
        <v>80000</v>
      </c>
      <c r="G44" s="36">
        <v>10000</v>
      </c>
      <c r="H44" s="27">
        <v>80000</v>
      </c>
      <c r="I44" s="27">
        <f>H44+G44</f>
        <v>90000</v>
      </c>
      <c r="J44" s="47">
        <v>595972</v>
      </c>
      <c r="K44" s="27"/>
      <c r="L44" s="28">
        <f>SUM(J44:K44)</f>
        <v>595972</v>
      </c>
      <c r="M44" s="29">
        <f>B44+E44+F44+I44+L44</f>
        <v>2718522</v>
      </c>
    </row>
    <row r="45" spans="1:15" ht="21" customHeight="1" x14ac:dyDescent="0.25">
      <c r="A45" s="31" t="s">
        <v>43</v>
      </c>
      <c r="B45" s="32">
        <f t="shared" ref="B45:D45" si="8">SUM(B46:B48)</f>
        <v>5648536</v>
      </c>
      <c r="C45" s="32">
        <f t="shared" si="8"/>
        <v>303315</v>
      </c>
      <c r="D45" s="32">
        <f t="shared" si="8"/>
        <v>22200</v>
      </c>
      <c r="E45" s="32">
        <f>SUM(E46:E48)</f>
        <v>325515</v>
      </c>
      <c r="F45" s="32">
        <f t="shared" ref="F45:L45" si="9">SUM(F46:F48)</f>
        <v>70000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ref="M45" si="10">SUM(M46:M48)</f>
        <v>6044051</v>
      </c>
    </row>
    <row r="46" spans="1:15" ht="21" customHeight="1" x14ac:dyDescent="0.25">
      <c r="A46" s="25" t="s">
        <v>44</v>
      </c>
      <c r="B46" s="26">
        <v>167137</v>
      </c>
      <c r="C46" s="26">
        <v>53000</v>
      </c>
      <c r="D46" s="26">
        <v>22000</v>
      </c>
      <c r="E46" s="27">
        <f>SUM(C46:D46)</f>
        <v>75000</v>
      </c>
      <c r="F46" s="37">
        <v>8500</v>
      </c>
      <c r="G46" s="27"/>
      <c r="H46" s="27"/>
      <c r="I46" s="27"/>
      <c r="J46" s="27"/>
      <c r="K46" s="27"/>
      <c r="L46" s="28">
        <f>SUM(J46:K46)</f>
        <v>0</v>
      </c>
      <c r="M46" s="29">
        <f>B46+E46+F46+H46+L46</f>
        <v>250637</v>
      </c>
    </row>
    <row r="47" spans="1:15" ht="21" customHeight="1" x14ac:dyDescent="0.25">
      <c r="A47" s="25" t="s">
        <v>45</v>
      </c>
      <c r="B47" s="26">
        <v>4282293</v>
      </c>
      <c r="C47" s="26">
        <v>193237</v>
      </c>
      <c r="D47" s="26"/>
      <c r="E47" s="27">
        <f>SUM(C47:D47)</f>
        <v>193237</v>
      </c>
      <c r="F47" s="37">
        <v>46500</v>
      </c>
      <c r="G47" s="27"/>
      <c r="H47" s="27"/>
      <c r="I47" s="27"/>
      <c r="J47" s="48"/>
      <c r="K47" s="27"/>
      <c r="L47" s="28">
        <f>SUM(J47:K47)</f>
        <v>0</v>
      </c>
      <c r="M47" s="29">
        <f>B47+E47+F47+H47+L47</f>
        <v>4522030</v>
      </c>
    </row>
    <row r="48" spans="1:15" ht="21" customHeight="1" x14ac:dyDescent="0.25">
      <c r="A48" s="25" t="s">
        <v>46</v>
      </c>
      <c r="B48" s="26">
        <v>1199106</v>
      </c>
      <c r="C48" s="26">
        <v>57078</v>
      </c>
      <c r="D48" s="26">
        <v>200</v>
      </c>
      <c r="E48" s="27">
        <f>SUM(C48:D48)</f>
        <v>57278</v>
      </c>
      <c r="F48" s="37">
        <v>15000</v>
      </c>
      <c r="G48" s="27"/>
      <c r="H48" s="27"/>
      <c r="I48" s="27"/>
      <c r="J48" s="46">
        <v>0</v>
      </c>
      <c r="K48" s="27"/>
      <c r="L48" s="28">
        <f>SUM(J48:K48)</f>
        <v>0</v>
      </c>
      <c r="M48" s="29">
        <f>B48+E48+F48+H48+L48</f>
        <v>1271384</v>
      </c>
      <c r="N48" s="54">
        <v>1271384</v>
      </c>
      <c r="O48" s="53">
        <f>M48-N48</f>
        <v>0</v>
      </c>
    </row>
    <row r="49" spans="1:13" ht="21" customHeight="1" x14ac:dyDescent="0.25"/>
    <row r="50" spans="1:13" ht="21" customHeight="1" x14ac:dyDescent="0.25">
      <c r="A50" s="9" t="s">
        <v>50</v>
      </c>
      <c r="B50" s="33"/>
      <c r="C50" s="9" t="s">
        <v>11</v>
      </c>
      <c r="D50" s="9" t="s">
        <v>12</v>
      </c>
      <c r="E50" s="33"/>
      <c r="F50" s="9"/>
      <c r="G50" s="9" t="s">
        <v>11</v>
      </c>
      <c r="H50" s="9" t="s">
        <v>12</v>
      </c>
      <c r="I50" s="9"/>
      <c r="J50" s="9" t="s">
        <v>11</v>
      </c>
      <c r="K50" s="9" t="s">
        <v>12</v>
      </c>
      <c r="L50" s="34"/>
      <c r="M50" s="34"/>
    </row>
    <row r="51" spans="1:13" ht="38.25" x14ac:dyDescent="0.25">
      <c r="A51" s="11" t="s">
        <v>13</v>
      </c>
      <c r="B51" s="12" t="s">
        <v>14</v>
      </c>
      <c r="C51" s="96" t="s">
        <v>15</v>
      </c>
      <c r="D51" s="96"/>
      <c r="E51" s="15" t="s">
        <v>48</v>
      </c>
      <c r="F51" s="15" t="s">
        <v>49</v>
      </c>
      <c r="G51" s="97" t="s">
        <v>18</v>
      </c>
      <c r="H51" s="98"/>
      <c r="I51" s="16" t="s">
        <v>19</v>
      </c>
      <c r="J51" s="99" t="s">
        <v>20</v>
      </c>
      <c r="K51" s="99"/>
      <c r="L51" s="15" t="s">
        <v>21</v>
      </c>
      <c r="M51" s="12" t="s">
        <v>22</v>
      </c>
    </row>
    <row r="52" spans="1:13" ht="21" customHeight="1" x14ac:dyDescent="0.25">
      <c r="A52" s="18" t="s">
        <v>23</v>
      </c>
      <c r="B52" s="51">
        <f t="shared" ref="B52:L52" si="11">B55+B72+B74</f>
        <v>10174353</v>
      </c>
      <c r="C52" s="51">
        <f t="shared" si="11"/>
        <v>2369340</v>
      </c>
      <c r="D52" s="51">
        <f t="shared" si="11"/>
        <v>97000</v>
      </c>
      <c r="E52" s="52">
        <f t="shared" si="11"/>
        <v>2466340</v>
      </c>
      <c r="F52" s="51">
        <f t="shared" si="11"/>
        <v>370000</v>
      </c>
      <c r="G52" s="51">
        <f t="shared" si="11"/>
        <v>10000</v>
      </c>
      <c r="H52" s="51">
        <f>H55+H72+H74</f>
        <v>880000</v>
      </c>
      <c r="I52" s="51">
        <f>I55+I72+I74</f>
        <v>890000</v>
      </c>
      <c r="J52" s="51">
        <f t="shared" si="11"/>
        <v>5618689</v>
      </c>
      <c r="K52" s="51">
        <f t="shared" si="11"/>
        <v>515403</v>
      </c>
      <c r="L52" s="51">
        <f t="shared" si="11"/>
        <v>6134092</v>
      </c>
      <c r="M52" s="51">
        <f>B52+E52+F52+I52+L52</f>
        <v>20034785</v>
      </c>
    </row>
    <row r="53" spans="1:13" s="59" customFormat="1" ht="21" customHeight="1" x14ac:dyDescent="0.25">
      <c r="A53" s="56"/>
      <c r="B53" s="57">
        <v>10300983</v>
      </c>
      <c r="C53" s="57"/>
      <c r="D53" s="57"/>
      <c r="E53" s="57">
        <v>2466340</v>
      </c>
      <c r="F53" s="57">
        <v>370000</v>
      </c>
      <c r="G53" s="57"/>
      <c r="H53" s="57"/>
      <c r="I53" s="57">
        <v>890000</v>
      </c>
      <c r="J53" s="57"/>
      <c r="K53" s="57"/>
      <c r="L53" s="57">
        <v>6007462</v>
      </c>
      <c r="M53" s="57">
        <f>B53+E53+F53+I53+L53</f>
        <v>20034785</v>
      </c>
    </row>
    <row r="54" spans="1:13" ht="21" customHeight="1" x14ac:dyDescent="0.25">
      <c r="A54" s="20"/>
      <c r="B54" s="21">
        <f>B52-B53</f>
        <v>-126630</v>
      </c>
      <c r="C54" s="21"/>
      <c r="D54" s="21"/>
      <c r="E54" s="21">
        <f>E52-E53</f>
        <v>0</v>
      </c>
      <c r="F54" s="21">
        <f>F52-F53</f>
        <v>0</v>
      </c>
      <c r="G54" s="21"/>
      <c r="H54" s="21"/>
      <c r="I54" s="21">
        <f>I52-I53</f>
        <v>0</v>
      </c>
      <c r="J54" s="21"/>
      <c r="K54" s="21"/>
      <c r="L54" s="21">
        <f>L52-L53</f>
        <v>126630</v>
      </c>
      <c r="M54" s="21">
        <f>M52-M53</f>
        <v>0</v>
      </c>
    </row>
    <row r="55" spans="1:13" ht="21" customHeight="1" x14ac:dyDescent="0.25">
      <c r="A55" s="23" t="s">
        <v>24</v>
      </c>
      <c r="B55" s="24">
        <f t="shared" ref="B55:M55" si="12">SUM(B56:B71)</f>
        <v>1759142</v>
      </c>
      <c r="C55" s="24">
        <f t="shared" si="12"/>
        <v>1635000</v>
      </c>
      <c r="D55" s="24">
        <f t="shared" si="12"/>
        <v>63000</v>
      </c>
      <c r="E55" s="24">
        <f t="shared" si="12"/>
        <v>1698000</v>
      </c>
      <c r="F55" s="24">
        <f t="shared" si="12"/>
        <v>220000</v>
      </c>
      <c r="G55" s="24">
        <f t="shared" si="12"/>
        <v>0</v>
      </c>
      <c r="H55" s="24">
        <f t="shared" si="12"/>
        <v>800000</v>
      </c>
      <c r="I55" s="24">
        <f t="shared" si="12"/>
        <v>800000</v>
      </c>
      <c r="J55" s="24">
        <f t="shared" si="12"/>
        <v>5294777</v>
      </c>
      <c r="K55" s="24">
        <f t="shared" si="12"/>
        <v>515403</v>
      </c>
      <c r="L55" s="24">
        <f t="shared" si="12"/>
        <v>5810180</v>
      </c>
      <c r="M55" s="24">
        <f t="shared" si="12"/>
        <v>10287322</v>
      </c>
    </row>
    <row r="56" spans="1:13" ht="21" customHeight="1" x14ac:dyDescent="0.25">
      <c r="A56" s="35" t="s">
        <v>25</v>
      </c>
      <c r="B56" s="26">
        <v>189139</v>
      </c>
      <c r="C56" s="26">
        <v>55000</v>
      </c>
      <c r="D56" s="26"/>
      <c r="E56" s="55">
        <f t="shared" ref="E56:E71" si="13">SUM(C56:D56)</f>
        <v>55000</v>
      </c>
      <c r="F56" s="27"/>
      <c r="G56" s="27"/>
      <c r="H56" s="27">
        <f>160000+70000-50000</f>
        <v>180000</v>
      </c>
      <c r="I56" s="27">
        <f t="shared" ref="I56:I71" si="14">G56+H56</f>
        <v>180000</v>
      </c>
      <c r="J56" s="27">
        <v>0</v>
      </c>
      <c r="K56" s="27">
        <v>0</v>
      </c>
      <c r="L56" s="28">
        <f t="shared" ref="L56:L71" si="15">SUM(J56:K56)</f>
        <v>0</v>
      </c>
      <c r="M56" s="21">
        <f t="shared" ref="M56:M71" si="16">B56+E56+F56+I56+L56</f>
        <v>424139</v>
      </c>
    </row>
    <row r="57" spans="1:13" ht="21" customHeight="1" x14ac:dyDescent="0.25">
      <c r="A57" s="35" t="s">
        <v>26</v>
      </c>
      <c r="B57" s="26">
        <v>238906</v>
      </c>
      <c r="C57" s="26">
        <v>120000</v>
      </c>
      <c r="D57" s="26">
        <v>28000</v>
      </c>
      <c r="E57" s="55">
        <f t="shared" si="13"/>
        <v>148000</v>
      </c>
      <c r="F57" s="27"/>
      <c r="G57" s="27"/>
      <c r="H57" s="27"/>
      <c r="I57" s="27">
        <f t="shared" si="14"/>
        <v>0</v>
      </c>
      <c r="J57" s="27">
        <v>20000</v>
      </c>
      <c r="K57" s="27">
        <v>0</v>
      </c>
      <c r="L57" s="28">
        <f t="shared" si="15"/>
        <v>20000</v>
      </c>
      <c r="M57" s="21">
        <f t="shared" si="16"/>
        <v>406906</v>
      </c>
    </row>
    <row r="58" spans="1:13" ht="21" customHeight="1" x14ac:dyDescent="0.25">
      <c r="A58" s="35" t="s">
        <v>27</v>
      </c>
      <c r="B58" s="26">
        <v>5265</v>
      </c>
      <c r="C58" s="26">
        <v>2000</v>
      </c>
      <c r="D58" s="26"/>
      <c r="E58" s="55">
        <f t="shared" si="13"/>
        <v>2000</v>
      </c>
      <c r="F58" s="27"/>
      <c r="G58" s="27"/>
      <c r="H58" s="27"/>
      <c r="I58" s="27">
        <f t="shared" si="14"/>
        <v>0</v>
      </c>
      <c r="J58" s="27">
        <v>0</v>
      </c>
      <c r="K58" s="27">
        <v>0</v>
      </c>
      <c r="L58" s="28">
        <f t="shared" si="15"/>
        <v>0</v>
      </c>
      <c r="M58" s="21">
        <f t="shared" si="16"/>
        <v>7265</v>
      </c>
    </row>
    <row r="59" spans="1:13" ht="21" customHeight="1" x14ac:dyDescent="0.25">
      <c r="A59" s="35" t="s">
        <v>28</v>
      </c>
      <c r="B59" s="26">
        <v>111165</v>
      </c>
      <c r="C59" s="26">
        <v>60000</v>
      </c>
      <c r="D59" s="26"/>
      <c r="E59" s="27">
        <f t="shared" si="13"/>
        <v>60000</v>
      </c>
      <c r="F59" s="27"/>
      <c r="G59" s="27"/>
      <c r="H59" s="27"/>
      <c r="I59" s="27">
        <f t="shared" si="14"/>
        <v>0</v>
      </c>
      <c r="J59" s="27">
        <v>0</v>
      </c>
      <c r="K59" s="27">
        <v>0</v>
      </c>
      <c r="L59" s="28">
        <f t="shared" si="15"/>
        <v>0</v>
      </c>
      <c r="M59" s="21">
        <f t="shared" si="16"/>
        <v>171165</v>
      </c>
    </row>
    <row r="60" spans="1:13" x14ac:dyDescent="0.25">
      <c r="A60" s="35" t="s">
        <v>29</v>
      </c>
      <c r="B60" s="26">
        <v>292118</v>
      </c>
      <c r="C60" s="26">
        <v>17000</v>
      </c>
      <c r="D60" s="26"/>
      <c r="E60" s="55">
        <f t="shared" si="13"/>
        <v>17000</v>
      </c>
      <c r="F60" s="27"/>
      <c r="G60" s="27"/>
      <c r="H60" s="27"/>
      <c r="I60" s="27">
        <f t="shared" si="14"/>
        <v>0</v>
      </c>
      <c r="J60" s="27">
        <v>0</v>
      </c>
      <c r="K60" s="27">
        <v>0</v>
      </c>
      <c r="L60" s="28">
        <f t="shared" si="15"/>
        <v>0</v>
      </c>
      <c r="M60" s="21">
        <f t="shared" si="16"/>
        <v>309118</v>
      </c>
    </row>
    <row r="61" spans="1:13" ht="21" customHeight="1" x14ac:dyDescent="0.25">
      <c r="A61" s="35" t="s">
        <v>30</v>
      </c>
      <c r="B61" s="26">
        <v>109114</v>
      </c>
      <c r="C61" s="26">
        <v>200000</v>
      </c>
      <c r="D61" s="27"/>
      <c r="E61" s="27">
        <f t="shared" si="13"/>
        <v>200000</v>
      </c>
      <c r="F61" s="27"/>
      <c r="G61" s="27"/>
      <c r="H61" s="27"/>
      <c r="I61" s="27">
        <f t="shared" si="14"/>
        <v>0</v>
      </c>
      <c r="J61" s="27">
        <v>142000</v>
      </c>
      <c r="K61" s="27">
        <v>47000</v>
      </c>
      <c r="L61" s="28">
        <f t="shared" si="15"/>
        <v>189000</v>
      </c>
      <c r="M61" s="21">
        <f t="shared" si="16"/>
        <v>498114</v>
      </c>
    </row>
    <row r="62" spans="1:13" x14ac:dyDescent="0.25">
      <c r="A62" s="35" t="s">
        <v>31</v>
      </c>
      <c r="B62" s="26">
        <v>31804</v>
      </c>
      <c r="C62" s="26">
        <f>390000+70000+110000</f>
        <v>570000</v>
      </c>
      <c r="D62" s="26">
        <v>35000</v>
      </c>
      <c r="E62" s="27">
        <f t="shared" si="13"/>
        <v>605000</v>
      </c>
      <c r="F62" s="27">
        <v>216000</v>
      </c>
      <c r="G62" s="27"/>
      <c r="H62" s="27">
        <v>50000</v>
      </c>
      <c r="I62" s="27">
        <f t="shared" si="14"/>
        <v>50000</v>
      </c>
      <c r="J62" s="27">
        <f>890000+130000</f>
        <v>1020000</v>
      </c>
      <c r="K62" s="27">
        <v>80000</v>
      </c>
      <c r="L62" s="28">
        <f t="shared" si="15"/>
        <v>1100000</v>
      </c>
      <c r="M62" s="21">
        <f t="shared" si="16"/>
        <v>2002804</v>
      </c>
    </row>
    <row r="63" spans="1:13" ht="21" customHeight="1" x14ac:dyDescent="0.25">
      <c r="A63" s="35" t="s">
        <v>32</v>
      </c>
      <c r="B63" s="26">
        <v>156690</v>
      </c>
      <c r="C63" s="26">
        <v>15000</v>
      </c>
      <c r="D63" s="26"/>
      <c r="E63" s="55">
        <f t="shared" si="13"/>
        <v>15000</v>
      </c>
      <c r="F63" s="27"/>
      <c r="G63" s="27"/>
      <c r="H63" s="27"/>
      <c r="I63" s="27">
        <f t="shared" si="14"/>
        <v>0</v>
      </c>
      <c r="J63" s="27">
        <v>0</v>
      </c>
      <c r="K63" s="27"/>
      <c r="L63" s="28">
        <f t="shared" si="15"/>
        <v>0</v>
      </c>
      <c r="M63" s="21">
        <f t="shared" si="16"/>
        <v>171690</v>
      </c>
    </row>
    <row r="64" spans="1:13" ht="21" customHeight="1" x14ac:dyDescent="0.25">
      <c r="A64" s="35" t="s">
        <v>33</v>
      </c>
      <c r="B64" s="26">
        <v>100862</v>
      </c>
      <c r="C64" s="26">
        <v>15000</v>
      </c>
      <c r="D64" s="26"/>
      <c r="E64" s="55">
        <f t="shared" si="13"/>
        <v>15000</v>
      </c>
      <c r="F64" s="27"/>
      <c r="G64" s="27"/>
      <c r="H64" s="27"/>
      <c r="I64" s="27">
        <f t="shared" si="14"/>
        <v>0</v>
      </c>
      <c r="J64" s="27">
        <v>0</v>
      </c>
      <c r="K64" s="27">
        <v>20000</v>
      </c>
      <c r="L64" s="28">
        <f t="shared" si="15"/>
        <v>20000</v>
      </c>
      <c r="M64" s="21">
        <f t="shared" si="16"/>
        <v>135862</v>
      </c>
    </row>
    <row r="65" spans="1:15" ht="21" customHeight="1" x14ac:dyDescent="0.25">
      <c r="A65" s="35" t="s">
        <v>34</v>
      </c>
      <c r="B65" s="26">
        <v>77098</v>
      </c>
      <c r="C65" s="26">
        <v>90000</v>
      </c>
      <c r="D65" s="26"/>
      <c r="E65" s="27">
        <f t="shared" si="13"/>
        <v>90000</v>
      </c>
      <c r="F65" s="27"/>
      <c r="G65" s="27"/>
      <c r="H65" s="27">
        <v>440000</v>
      </c>
      <c r="I65" s="27">
        <f t="shared" si="14"/>
        <v>440000</v>
      </c>
      <c r="J65" s="27">
        <v>970000</v>
      </c>
      <c r="K65" s="27">
        <v>115000</v>
      </c>
      <c r="L65" s="28">
        <f t="shared" si="15"/>
        <v>1085000</v>
      </c>
      <c r="M65" s="21">
        <f t="shared" si="16"/>
        <v>1692098</v>
      </c>
    </row>
    <row r="66" spans="1:15" x14ac:dyDescent="0.25">
      <c r="A66" s="35" t="s">
        <v>35</v>
      </c>
      <c r="B66" s="26">
        <v>53031</v>
      </c>
      <c r="C66" s="26">
        <f>17000+3000</f>
        <v>20000</v>
      </c>
      <c r="D66" s="26"/>
      <c r="E66" s="27">
        <f t="shared" si="13"/>
        <v>20000</v>
      </c>
      <c r="F66" s="27"/>
      <c r="G66" s="27"/>
      <c r="H66" s="27">
        <v>20000</v>
      </c>
      <c r="I66" s="27">
        <f t="shared" si="14"/>
        <v>20000</v>
      </c>
      <c r="J66" s="27">
        <v>78000</v>
      </c>
      <c r="K66" s="27">
        <v>80000</v>
      </c>
      <c r="L66" s="28">
        <f t="shared" si="15"/>
        <v>158000</v>
      </c>
      <c r="M66" s="21">
        <f t="shared" si="16"/>
        <v>251031</v>
      </c>
    </row>
    <row r="67" spans="1:15" x14ac:dyDescent="0.25">
      <c r="A67" s="35" t="s">
        <v>36</v>
      </c>
      <c r="B67" s="26">
        <v>74666</v>
      </c>
      <c r="C67" s="26">
        <v>16000</v>
      </c>
      <c r="D67" s="26"/>
      <c r="E67" s="55">
        <f t="shared" si="13"/>
        <v>16000</v>
      </c>
      <c r="F67" s="27"/>
      <c r="G67" s="27"/>
      <c r="H67" s="27"/>
      <c r="I67" s="27">
        <f t="shared" si="14"/>
        <v>0</v>
      </c>
      <c r="J67" s="27">
        <v>0</v>
      </c>
      <c r="K67" s="27">
        <v>0</v>
      </c>
      <c r="L67" s="28">
        <f t="shared" si="15"/>
        <v>0</v>
      </c>
      <c r="M67" s="21">
        <f t="shared" si="16"/>
        <v>90666</v>
      </c>
    </row>
    <row r="68" spans="1:15" x14ac:dyDescent="0.25">
      <c r="A68" s="35" t="s">
        <v>37</v>
      </c>
      <c r="B68" s="26">
        <v>52206</v>
      </c>
      <c r="C68" s="26">
        <f>180000+140000</f>
        <v>320000</v>
      </c>
      <c r="D68" s="26"/>
      <c r="E68" s="27">
        <f t="shared" si="13"/>
        <v>320000</v>
      </c>
      <c r="F68" s="27"/>
      <c r="G68" s="27"/>
      <c r="H68" s="27"/>
      <c r="I68" s="27">
        <f t="shared" si="14"/>
        <v>0</v>
      </c>
      <c r="J68" s="27">
        <v>1390000</v>
      </c>
      <c r="K68" s="27">
        <v>10000</v>
      </c>
      <c r="L68" s="28">
        <f t="shared" si="15"/>
        <v>1400000</v>
      </c>
      <c r="M68" s="21">
        <f t="shared" si="16"/>
        <v>1772206</v>
      </c>
    </row>
    <row r="69" spans="1:15" x14ac:dyDescent="0.25">
      <c r="A69" s="35" t="s">
        <v>38</v>
      </c>
      <c r="B69" s="26">
        <v>108530</v>
      </c>
      <c r="C69" s="26">
        <v>10000</v>
      </c>
      <c r="D69" s="26"/>
      <c r="E69" s="55">
        <f t="shared" si="13"/>
        <v>10000</v>
      </c>
      <c r="F69" s="36">
        <v>4000</v>
      </c>
      <c r="G69" s="36"/>
      <c r="H69" s="27"/>
      <c r="I69" s="27">
        <f t="shared" si="14"/>
        <v>0</v>
      </c>
      <c r="J69" s="27"/>
      <c r="K69" s="27"/>
      <c r="L69" s="28">
        <f t="shared" si="15"/>
        <v>0</v>
      </c>
      <c r="M69" s="21">
        <f t="shared" si="16"/>
        <v>122530</v>
      </c>
    </row>
    <row r="70" spans="1:15" x14ac:dyDescent="0.25">
      <c r="A70" s="35" t="s">
        <v>39</v>
      </c>
      <c r="B70" s="26">
        <v>92444</v>
      </c>
      <c r="C70" s="26">
        <f>50000+20000</f>
        <v>70000</v>
      </c>
      <c r="D70" s="26"/>
      <c r="E70" s="27">
        <f t="shared" si="13"/>
        <v>70000</v>
      </c>
      <c r="F70" s="27"/>
      <c r="G70" s="27"/>
      <c r="H70" s="27">
        <v>110000</v>
      </c>
      <c r="I70" s="27">
        <f t="shared" si="14"/>
        <v>110000</v>
      </c>
      <c r="J70" s="27">
        <f>371948+632829</f>
        <v>1004777</v>
      </c>
      <c r="K70" s="27">
        <v>143403</v>
      </c>
      <c r="L70" s="28">
        <f t="shared" si="15"/>
        <v>1148180</v>
      </c>
      <c r="M70" s="21">
        <f t="shared" si="16"/>
        <v>1420624</v>
      </c>
    </row>
    <row r="71" spans="1:15" x14ac:dyDescent="0.25">
      <c r="A71" s="25" t="s">
        <v>40</v>
      </c>
      <c r="B71" s="26">
        <v>66104</v>
      </c>
      <c r="C71" s="26">
        <v>55000</v>
      </c>
      <c r="D71" s="26"/>
      <c r="E71" s="27">
        <f t="shared" si="13"/>
        <v>55000</v>
      </c>
      <c r="F71" s="27"/>
      <c r="G71" s="27"/>
      <c r="H71" s="27"/>
      <c r="I71" s="27">
        <f t="shared" si="14"/>
        <v>0</v>
      </c>
      <c r="J71" s="27">
        <v>670000</v>
      </c>
      <c r="K71" s="27">
        <v>20000</v>
      </c>
      <c r="L71" s="28">
        <f t="shared" si="15"/>
        <v>690000</v>
      </c>
      <c r="M71" s="21">
        <f t="shared" si="16"/>
        <v>811104</v>
      </c>
    </row>
    <row r="72" spans="1:15" x14ac:dyDescent="0.25">
      <c r="A72" s="31" t="s">
        <v>41</v>
      </c>
      <c r="B72" s="32">
        <f t="shared" ref="B72:M72" si="17">SUM(B73)</f>
        <v>1830000</v>
      </c>
      <c r="C72" s="32">
        <f t="shared" si="17"/>
        <v>350000</v>
      </c>
      <c r="D72" s="32">
        <f t="shared" si="17"/>
        <v>0</v>
      </c>
      <c r="E72" s="32">
        <f t="shared" si="17"/>
        <v>350000</v>
      </c>
      <c r="F72" s="32">
        <f t="shared" si="17"/>
        <v>80000</v>
      </c>
      <c r="G72" s="32">
        <f t="shared" si="17"/>
        <v>10000</v>
      </c>
      <c r="H72" s="32">
        <f t="shared" si="17"/>
        <v>80000</v>
      </c>
      <c r="I72" s="32">
        <f t="shared" si="17"/>
        <v>90000</v>
      </c>
      <c r="J72" s="32">
        <f t="shared" si="17"/>
        <v>266204</v>
      </c>
      <c r="K72" s="32">
        <f t="shared" si="17"/>
        <v>0</v>
      </c>
      <c r="L72" s="32">
        <f t="shared" si="17"/>
        <v>266204</v>
      </c>
      <c r="M72" s="32">
        <f t="shared" si="17"/>
        <v>2616204</v>
      </c>
      <c r="N72" s="54">
        <v>126630</v>
      </c>
    </row>
    <row r="73" spans="1:15" x14ac:dyDescent="0.25">
      <c r="A73" s="30" t="s">
        <v>42</v>
      </c>
      <c r="B73" s="27">
        <v>1830000</v>
      </c>
      <c r="C73" s="26">
        <v>350000</v>
      </c>
      <c r="D73" s="27"/>
      <c r="E73" s="27">
        <f>SUM(C73:D73)</f>
        <v>350000</v>
      </c>
      <c r="F73" s="36">
        <v>80000</v>
      </c>
      <c r="G73" s="36">
        <v>10000</v>
      </c>
      <c r="H73" s="27">
        <v>80000</v>
      </c>
      <c r="I73" s="27">
        <f>H73+G73</f>
        <v>90000</v>
      </c>
      <c r="J73" s="47">
        <f>139574+126630</f>
        <v>266204</v>
      </c>
      <c r="K73" s="27"/>
      <c r="L73" s="28">
        <f>SUM(J73:K73)</f>
        <v>266204</v>
      </c>
      <c r="M73" s="21">
        <f>B73+E73+F73+I73+L73</f>
        <v>2616204</v>
      </c>
      <c r="N73" s="53">
        <f>M73-D16-80000</f>
        <v>0</v>
      </c>
    </row>
    <row r="74" spans="1:15" x14ac:dyDescent="0.25">
      <c r="A74" s="31" t="s">
        <v>43</v>
      </c>
      <c r="B74" s="32">
        <f t="shared" ref="B74:M74" si="18">SUM(B75:B77)</f>
        <v>6585211</v>
      </c>
      <c r="C74" s="32">
        <f t="shared" si="18"/>
        <v>384340</v>
      </c>
      <c r="D74" s="32">
        <f t="shared" si="18"/>
        <v>34000</v>
      </c>
      <c r="E74" s="32">
        <f>SUM(E75:E77)</f>
        <v>418340</v>
      </c>
      <c r="F74" s="32">
        <f t="shared" si="18"/>
        <v>70000</v>
      </c>
      <c r="G74" s="32">
        <f t="shared" si="18"/>
        <v>0</v>
      </c>
      <c r="H74" s="32">
        <f t="shared" si="18"/>
        <v>0</v>
      </c>
      <c r="I74" s="32">
        <f t="shared" si="18"/>
        <v>0</v>
      </c>
      <c r="J74" s="32">
        <f t="shared" si="18"/>
        <v>57708</v>
      </c>
      <c r="K74" s="32">
        <f t="shared" si="18"/>
        <v>0</v>
      </c>
      <c r="L74" s="32">
        <f t="shared" si="18"/>
        <v>57708</v>
      </c>
      <c r="M74" s="32">
        <f t="shared" si="18"/>
        <v>7131259</v>
      </c>
      <c r="N74" s="53">
        <f>D17+34000</f>
        <v>7172467</v>
      </c>
      <c r="O74" s="53"/>
    </row>
    <row r="75" spans="1:15" x14ac:dyDescent="0.25">
      <c r="A75" s="25" t="s">
        <v>44</v>
      </c>
      <c r="B75" s="26">
        <v>220667</v>
      </c>
      <c r="C75" s="26">
        <v>53000</v>
      </c>
      <c r="D75" s="26">
        <v>34000</v>
      </c>
      <c r="E75" s="27">
        <f>SUM(C75:D75)</f>
        <v>87000</v>
      </c>
      <c r="F75" s="37">
        <v>8500</v>
      </c>
      <c r="G75" s="27"/>
      <c r="H75" s="27"/>
      <c r="I75" s="27"/>
      <c r="J75" s="27"/>
      <c r="K75" s="27"/>
      <c r="L75" s="28">
        <f>SUM(J75:K75)</f>
        <v>0</v>
      </c>
      <c r="M75" s="21">
        <f>B75+E75+F75+I75+L75</f>
        <v>316167</v>
      </c>
      <c r="N75" s="53">
        <f>N74-M74</f>
        <v>41208</v>
      </c>
    </row>
    <row r="76" spans="1:15" x14ac:dyDescent="0.25">
      <c r="A76" s="25" t="s">
        <v>45</v>
      </c>
      <c r="B76" s="26">
        <v>5119432</v>
      </c>
      <c r="C76" s="26">
        <f>193237+40000</f>
        <v>233237</v>
      </c>
      <c r="D76" s="26"/>
      <c r="E76" s="27">
        <f>SUM(C76:D76)</f>
        <v>233237</v>
      </c>
      <c r="F76" s="37">
        <v>46500</v>
      </c>
      <c r="G76" s="27"/>
      <c r="H76" s="27"/>
      <c r="I76" s="27"/>
      <c r="J76" s="48">
        <v>57708</v>
      </c>
      <c r="K76" s="27"/>
      <c r="L76" s="28">
        <f>SUM(J76:K76)</f>
        <v>57708</v>
      </c>
      <c r="M76" s="21">
        <f>B76+E76+F76+I76+L76</f>
        <v>5456877</v>
      </c>
    </row>
    <row r="77" spans="1:15" x14ac:dyDescent="0.25">
      <c r="A77" s="25" t="s">
        <v>46</v>
      </c>
      <c r="B77" s="26">
        <v>1245112</v>
      </c>
      <c r="C77" s="26">
        <f>57078+41025</f>
        <v>98103</v>
      </c>
      <c r="D77" s="26"/>
      <c r="E77" s="27">
        <f>SUM(C77:D77)</f>
        <v>98103</v>
      </c>
      <c r="F77" s="37">
        <v>15000</v>
      </c>
      <c r="G77" s="27"/>
      <c r="H77" s="27"/>
      <c r="I77" s="27"/>
      <c r="J77" s="46">
        <v>0</v>
      </c>
      <c r="K77" s="27"/>
      <c r="L77" s="28">
        <f>SUM(J77:K77)</f>
        <v>0</v>
      </c>
      <c r="M77" s="21">
        <f>B77+E77+F77+I77+L77</f>
        <v>1358215</v>
      </c>
    </row>
    <row r="78" spans="1:15" x14ac:dyDescent="0.25">
      <c r="A78" s="39"/>
      <c r="B78" s="40"/>
      <c r="C78" s="41"/>
      <c r="D78" s="41"/>
      <c r="E78" s="41"/>
      <c r="F78" s="42"/>
      <c r="G78" s="42"/>
      <c r="H78" s="42"/>
      <c r="I78" s="42"/>
      <c r="J78" s="42"/>
      <c r="K78" s="42"/>
      <c r="L78" s="42"/>
      <c r="M78" s="42"/>
    </row>
    <row r="79" spans="1:15" ht="18.75" x14ac:dyDescent="0.25">
      <c r="A79" s="9" t="s">
        <v>51</v>
      </c>
      <c r="B79" s="33"/>
      <c r="C79" s="9" t="s">
        <v>11</v>
      </c>
      <c r="D79" s="9" t="s">
        <v>12</v>
      </c>
      <c r="E79" s="33"/>
      <c r="F79" s="9"/>
      <c r="G79" s="9" t="s">
        <v>11</v>
      </c>
      <c r="H79" s="9" t="s">
        <v>12</v>
      </c>
      <c r="I79" s="9"/>
      <c r="J79" s="9" t="s">
        <v>11</v>
      </c>
      <c r="K79" s="9" t="s">
        <v>12</v>
      </c>
      <c r="L79" s="34"/>
      <c r="M79" s="34"/>
    </row>
    <row r="80" spans="1:15" ht="38.25" x14ac:dyDescent="0.25">
      <c r="A80" s="11" t="s">
        <v>13</v>
      </c>
      <c r="B80" s="12" t="s">
        <v>14</v>
      </c>
      <c r="C80" s="96" t="s">
        <v>15</v>
      </c>
      <c r="D80" s="96"/>
      <c r="E80" s="15" t="s">
        <v>48</v>
      </c>
      <c r="F80" s="15" t="s">
        <v>49</v>
      </c>
      <c r="G80" s="97" t="s">
        <v>18</v>
      </c>
      <c r="H80" s="98"/>
      <c r="I80" s="16" t="s">
        <v>19</v>
      </c>
      <c r="J80" s="99" t="s">
        <v>20</v>
      </c>
      <c r="K80" s="99"/>
      <c r="L80" s="15" t="s">
        <v>21</v>
      </c>
      <c r="M80" s="12" t="s">
        <v>22</v>
      </c>
    </row>
    <row r="81" spans="1:13" x14ac:dyDescent="0.25">
      <c r="A81" s="18" t="s">
        <v>23</v>
      </c>
      <c r="B81" s="51">
        <f>B84+B101+B103</f>
        <v>10816032</v>
      </c>
      <c r="C81" s="19">
        <f t="shared" ref="C81:L81" si="19">C84+C101+C103</f>
        <v>2409341</v>
      </c>
      <c r="D81" s="19">
        <f>D84+D101+D103</f>
        <v>97000</v>
      </c>
      <c r="E81" s="51">
        <f>E84+E101+E103</f>
        <v>2506341</v>
      </c>
      <c r="F81" s="51">
        <f t="shared" si="19"/>
        <v>400000</v>
      </c>
      <c r="G81" s="19">
        <f t="shared" si="19"/>
        <v>10000</v>
      </c>
      <c r="H81" s="19">
        <f>H84+H101+H103</f>
        <v>900000</v>
      </c>
      <c r="I81" s="51">
        <f>I84+I101+I103</f>
        <v>910000</v>
      </c>
      <c r="J81" s="19">
        <f t="shared" si="19"/>
        <v>5816518</v>
      </c>
      <c r="K81" s="19">
        <f t="shared" si="19"/>
        <v>595899</v>
      </c>
      <c r="L81" s="51">
        <f t="shared" si="19"/>
        <v>6412417</v>
      </c>
      <c r="M81" s="19">
        <f>B81+E81+F81+I81+L81</f>
        <v>21044790</v>
      </c>
    </row>
    <row r="82" spans="1:13" s="59" customFormat="1" x14ac:dyDescent="0.25">
      <c r="A82" s="56"/>
      <c r="B82" s="57">
        <v>10816032</v>
      </c>
      <c r="C82" s="57"/>
      <c r="D82" s="57"/>
      <c r="E82" s="57">
        <v>2506341</v>
      </c>
      <c r="F82" s="57">
        <v>400000</v>
      </c>
      <c r="G82" s="57"/>
      <c r="H82" s="57"/>
      <c r="I82" s="57">
        <v>910000</v>
      </c>
      <c r="J82" s="57"/>
      <c r="K82" s="57"/>
      <c r="L82" s="57">
        <v>6412417</v>
      </c>
      <c r="M82" s="57">
        <f>B82+E82+F82+I82+L82</f>
        <v>21044790</v>
      </c>
    </row>
    <row r="83" spans="1:13" x14ac:dyDescent="0.25">
      <c r="A83" s="20"/>
      <c r="B83" s="21">
        <f>B81-B82</f>
        <v>0</v>
      </c>
      <c r="C83" s="21"/>
      <c r="D83" s="21"/>
      <c r="E83" s="21">
        <f>E81-E82</f>
        <v>0</v>
      </c>
      <c r="F83" s="21">
        <f>F81-F82</f>
        <v>0</v>
      </c>
      <c r="G83" s="21"/>
      <c r="H83" s="21"/>
      <c r="I83" s="21">
        <f>I81-I82</f>
        <v>0</v>
      </c>
      <c r="J83" s="21"/>
      <c r="K83" s="21"/>
      <c r="L83" s="21">
        <f>L81-L82</f>
        <v>0</v>
      </c>
      <c r="M83" s="21">
        <f>M81-M82</f>
        <v>0</v>
      </c>
    </row>
    <row r="84" spans="1:13" x14ac:dyDescent="0.25">
      <c r="A84" s="23" t="s">
        <v>24</v>
      </c>
      <c r="B84" s="24">
        <f t="shared" ref="B84:M84" si="20">SUM(B85:B100)</f>
        <v>1847096</v>
      </c>
      <c r="C84" s="24">
        <f t="shared" si="20"/>
        <v>1675001</v>
      </c>
      <c r="D84" s="24">
        <f t="shared" si="20"/>
        <v>63000</v>
      </c>
      <c r="E84" s="24">
        <f t="shared" si="20"/>
        <v>1738001</v>
      </c>
      <c r="F84" s="24">
        <f t="shared" si="20"/>
        <v>250000</v>
      </c>
      <c r="G84" s="24">
        <f t="shared" si="20"/>
        <v>0</v>
      </c>
      <c r="H84" s="24">
        <f t="shared" si="20"/>
        <v>820000</v>
      </c>
      <c r="I84" s="24">
        <f t="shared" si="20"/>
        <v>820000</v>
      </c>
      <c r="J84" s="24">
        <f t="shared" si="20"/>
        <v>5516518</v>
      </c>
      <c r="K84" s="24">
        <f t="shared" si="20"/>
        <v>595899</v>
      </c>
      <c r="L84" s="24">
        <f t="shared" si="20"/>
        <v>6112417</v>
      </c>
      <c r="M84" s="24">
        <f t="shared" si="20"/>
        <v>10767514</v>
      </c>
    </row>
    <row r="85" spans="1:13" x14ac:dyDescent="0.25">
      <c r="A85" s="35" t="s">
        <v>25</v>
      </c>
      <c r="B85" s="26">
        <v>198596</v>
      </c>
      <c r="C85" s="26">
        <v>55000</v>
      </c>
      <c r="D85" s="26"/>
      <c r="E85" s="27">
        <f>SUM(C85:D85)</f>
        <v>55000</v>
      </c>
      <c r="F85" s="27"/>
      <c r="G85" s="27"/>
      <c r="H85" s="27">
        <f>160000+241680-151680-50000</f>
        <v>200000</v>
      </c>
      <c r="I85" s="37">
        <f>G85+H85</f>
        <v>200000</v>
      </c>
      <c r="J85" s="37">
        <v>0</v>
      </c>
      <c r="K85" s="27">
        <v>0</v>
      </c>
      <c r="L85" s="28">
        <f>J85+K85</f>
        <v>0</v>
      </c>
      <c r="M85" s="22">
        <f t="shared" ref="M85:M106" si="21">B85+E85+F85+I85+L85</f>
        <v>453596</v>
      </c>
    </row>
    <row r="86" spans="1:13" x14ac:dyDescent="0.25">
      <c r="A86" s="35" t="s">
        <v>26</v>
      </c>
      <c r="B86" s="26">
        <v>250851</v>
      </c>
      <c r="C86" s="26">
        <v>120000</v>
      </c>
      <c r="D86" s="26">
        <v>28000</v>
      </c>
      <c r="E86" s="27">
        <f t="shared" ref="E86:E100" si="22">SUM(C86:D86)</f>
        <v>148000</v>
      </c>
      <c r="F86" s="27"/>
      <c r="G86" s="27"/>
      <c r="H86" s="27"/>
      <c r="I86" s="37">
        <f t="shared" ref="I86:I106" si="23">G86+H86</f>
        <v>0</v>
      </c>
      <c r="J86" s="37">
        <v>0</v>
      </c>
      <c r="K86" s="27">
        <v>0</v>
      </c>
      <c r="L86" s="28">
        <f t="shared" ref="L86:L106" si="24">J86+K86</f>
        <v>0</v>
      </c>
      <c r="M86" s="22">
        <f t="shared" si="21"/>
        <v>398851</v>
      </c>
    </row>
    <row r="87" spans="1:13" x14ac:dyDescent="0.25">
      <c r="A87" s="35" t="s">
        <v>27</v>
      </c>
      <c r="B87" s="26">
        <v>5528</v>
      </c>
      <c r="C87" s="26">
        <v>2000</v>
      </c>
      <c r="D87" s="26"/>
      <c r="E87" s="27">
        <f t="shared" si="22"/>
        <v>2000</v>
      </c>
      <c r="F87" s="27"/>
      <c r="G87" s="27"/>
      <c r="H87" s="27"/>
      <c r="I87" s="37">
        <f t="shared" si="23"/>
        <v>0</v>
      </c>
      <c r="J87" s="37">
        <v>0</v>
      </c>
      <c r="K87" s="27">
        <v>0</v>
      </c>
      <c r="L87" s="28">
        <f t="shared" si="24"/>
        <v>0</v>
      </c>
      <c r="M87" s="22">
        <f t="shared" si="21"/>
        <v>7528</v>
      </c>
    </row>
    <row r="88" spans="1:13" x14ac:dyDescent="0.25">
      <c r="A88" s="35" t="s">
        <v>28</v>
      </c>
      <c r="B88" s="26">
        <v>116723</v>
      </c>
      <c r="C88" s="26">
        <v>60000</v>
      </c>
      <c r="D88" s="26"/>
      <c r="E88" s="27">
        <f t="shared" si="22"/>
        <v>60000</v>
      </c>
      <c r="F88" s="27"/>
      <c r="G88" s="27"/>
      <c r="H88" s="27"/>
      <c r="I88" s="37">
        <f t="shared" si="23"/>
        <v>0</v>
      </c>
      <c r="J88" s="37">
        <v>0</v>
      </c>
      <c r="K88" s="27">
        <v>0</v>
      </c>
      <c r="L88" s="28">
        <f t="shared" si="24"/>
        <v>0</v>
      </c>
      <c r="M88" s="22">
        <f t="shared" si="21"/>
        <v>176723</v>
      </c>
    </row>
    <row r="89" spans="1:13" x14ac:dyDescent="0.25">
      <c r="A89" s="35" t="s">
        <v>29</v>
      </c>
      <c r="B89" s="26">
        <v>306724</v>
      </c>
      <c r="C89" s="26">
        <v>17000</v>
      </c>
      <c r="D89" s="26"/>
      <c r="E89" s="27">
        <f t="shared" si="22"/>
        <v>17000</v>
      </c>
      <c r="F89" s="27"/>
      <c r="G89" s="27"/>
      <c r="H89" s="27"/>
      <c r="I89" s="37">
        <f t="shared" si="23"/>
        <v>0</v>
      </c>
      <c r="J89" s="37">
        <v>0</v>
      </c>
      <c r="K89" s="27">
        <v>0</v>
      </c>
      <c r="L89" s="28">
        <f t="shared" si="24"/>
        <v>0</v>
      </c>
      <c r="M89" s="22">
        <f t="shared" si="21"/>
        <v>323724</v>
      </c>
    </row>
    <row r="90" spans="1:13" x14ac:dyDescent="0.25">
      <c r="A90" s="35" t="s">
        <v>30</v>
      </c>
      <c r="B90" s="26">
        <v>114570</v>
      </c>
      <c r="C90" s="26">
        <v>200000</v>
      </c>
      <c r="D90" s="27"/>
      <c r="E90" s="27">
        <f t="shared" si="22"/>
        <v>200000</v>
      </c>
      <c r="F90" s="27"/>
      <c r="G90" s="27"/>
      <c r="H90" s="27"/>
      <c r="I90" s="37">
        <f t="shared" si="23"/>
        <v>0</v>
      </c>
      <c r="J90" s="37">
        <v>100000</v>
      </c>
      <c r="K90" s="27">
        <v>70000</v>
      </c>
      <c r="L90" s="28">
        <f t="shared" si="24"/>
        <v>170000</v>
      </c>
      <c r="M90" s="22">
        <f t="shared" si="21"/>
        <v>484570</v>
      </c>
    </row>
    <row r="91" spans="1:13" ht="21" customHeight="1" x14ac:dyDescent="0.25">
      <c r="A91" s="35" t="s">
        <v>31</v>
      </c>
      <c r="B91" s="26">
        <v>33394</v>
      </c>
      <c r="C91" s="26">
        <f>390000+70000+110000+40001</f>
        <v>610001</v>
      </c>
      <c r="D91" s="26">
        <v>35000</v>
      </c>
      <c r="E91" s="27">
        <f t="shared" si="22"/>
        <v>645001</v>
      </c>
      <c r="F91" s="27">
        <f>221000+25000</f>
        <v>246000</v>
      </c>
      <c r="G91" s="37"/>
      <c r="H91" s="27">
        <v>50000</v>
      </c>
      <c r="I91" s="37">
        <f t="shared" si="23"/>
        <v>50000</v>
      </c>
      <c r="J91" s="37">
        <v>1021120</v>
      </c>
      <c r="K91" s="27"/>
      <c r="L91" s="28">
        <f t="shared" si="24"/>
        <v>1021120</v>
      </c>
      <c r="M91" s="22">
        <f t="shared" si="21"/>
        <v>1995515</v>
      </c>
    </row>
    <row r="92" spans="1:13" ht="21" customHeight="1" x14ac:dyDescent="0.25">
      <c r="A92" s="35" t="s">
        <v>32</v>
      </c>
      <c r="B92" s="26">
        <v>164524</v>
      </c>
      <c r="C92" s="26">
        <v>15000</v>
      </c>
      <c r="D92" s="26"/>
      <c r="E92" s="27">
        <f t="shared" si="22"/>
        <v>15000</v>
      </c>
      <c r="F92" s="27"/>
      <c r="G92" s="27"/>
      <c r="H92" s="27"/>
      <c r="I92" s="37">
        <f t="shared" si="23"/>
        <v>0</v>
      </c>
      <c r="J92" s="37">
        <v>0</v>
      </c>
      <c r="K92" s="27">
        <v>0</v>
      </c>
      <c r="L92" s="28">
        <f t="shared" si="24"/>
        <v>0</v>
      </c>
      <c r="M92" s="22">
        <f t="shared" si="21"/>
        <v>179524</v>
      </c>
    </row>
    <row r="93" spans="1:13" ht="21" customHeight="1" x14ac:dyDescent="0.25">
      <c r="A93" s="35" t="s">
        <v>33</v>
      </c>
      <c r="B93" s="26">
        <v>105905</v>
      </c>
      <c r="C93" s="26">
        <v>15000</v>
      </c>
      <c r="D93" s="26"/>
      <c r="E93" s="27">
        <f t="shared" si="22"/>
        <v>15000</v>
      </c>
      <c r="F93" s="27"/>
      <c r="G93" s="27"/>
      <c r="H93" s="27"/>
      <c r="I93" s="37">
        <f t="shared" si="23"/>
        <v>0</v>
      </c>
      <c r="J93" s="37">
        <v>0</v>
      </c>
      <c r="K93" s="27">
        <v>20000</v>
      </c>
      <c r="L93" s="28">
        <f t="shared" si="24"/>
        <v>20000</v>
      </c>
      <c r="M93" s="22">
        <f t="shared" si="21"/>
        <v>140905</v>
      </c>
    </row>
    <row r="94" spans="1:13" ht="21" customHeight="1" x14ac:dyDescent="0.25">
      <c r="A94" s="35" t="s">
        <v>34</v>
      </c>
      <c r="B94" s="26">
        <v>80953</v>
      </c>
      <c r="C94" s="26">
        <v>90000</v>
      </c>
      <c r="D94" s="26"/>
      <c r="E94" s="27">
        <f t="shared" si="22"/>
        <v>90000</v>
      </c>
      <c r="F94" s="27"/>
      <c r="G94" s="27"/>
      <c r="H94" s="27">
        <v>440000</v>
      </c>
      <c r="I94" s="37">
        <f t="shared" si="23"/>
        <v>440000</v>
      </c>
      <c r="J94" s="37">
        <v>1000000</v>
      </c>
      <c r="K94" s="27">
        <f>140000-90000</f>
        <v>50000</v>
      </c>
      <c r="L94" s="28">
        <f t="shared" si="24"/>
        <v>1050000</v>
      </c>
      <c r="M94" s="22">
        <f t="shared" si="21"/>
        <v>1660953</v>
      </c>
    </row>
    <row r="95" spans="1:13" ht="21" customHeight="1" x14ac:dyDescent="0.25">
      <c r="A95" s="35" t="s">
        <v>35</v>
      </c>
      <c r="B95" s="26">
        <v>55682</v>
      </c>
      <c r="C95" s="26">
        <f>17000+3000</f>
        <v>20000</v>
      </c>
      <c r="D95" s="26"/>
      <c r="E95" s="27">
        <f t="shared" si="22"/>
        <v>20000</v>
      </c>
      <c r="F95" s="27"/>
      <c r="G95" s="27"/>
      <c r="H95" s="27">
        <v>20000</v>
      </c>
      <c r="I95" s="37">
        <f t="shared" si="23"/>
        <v>20000</v>
      </c>
      <c r="J95" s="37">
        <v>60000</v>
      </c>
      <c r="K95" s="27">
        <v>10000</v>
      </c>
      <c r="L95" s="28">
        <f t="shared" si="24"/>
        <v>70000</v>
      </c>
      <c r="M95" s="22">
        <f t="shared" si="21"/>
        <v>165682</v>
      </c>
    </row>
    <row r="96" spans="1:13" ht="21" customHeight="1" x14ac:dyDescent="0.25">
      <c r="A96" s="35" t="s">
        <v>36</v>
      </c>
      <c r="B96" s="26">
        <v>78399</v>
      </c>
      <c r="C96" s="26">
        <v>16000</v>
      </c>
      <c r="D96" s="26"/>
      <c r="E96" s="27">
        <f t="shared" si="22"/>
        <v>16000</v>
      </c>
      <c r="F96" s="27"/>
      <c r="G96" s="27"/>
      <c r="H96" s="27"/>
      <c r="I96" s="37">
        <f t="shared" si="23"/>
        <v>0</v>
      </c>
      <c r="J96" s="37">
        <v>0</v>
      </c>
      <c r="K96" s="27">
        <v>0</v>
      </c>
      <c r="L96" s="28">
        <f t="shared" si="24"/>
        <v>0</v>
      </c>
      <c r="M96" s="22">
        <f t="shared" si="21"/>
        <v>94399</v>
      </c>
    </row>
    <row r="97" spans="1:13" ht="21" customHeight="1" x14ac:dyDescent="0.25">
      <c r="A97" s="35" t="s">
        <v>37</v>
      </c>
      <c r="B97" s="26">
        <v>54816</v>
      </c>
      <c r="C97" s="26">
        <f>180000+140000</f>
        <v>320000</v>
      </c>
      <c r="D97" s="26"/>
      <c r="E97" s="27">
        <f t="shared" si="22"/>
        <v>320000</v>
      </c>
      <c r="F97" s="27"/>
      <c r="G97" s="27"/>
      <c r="H97" s="27"/>
      <c r="I97" s="37">
        <f t="shared" si="23"/>
        <v>0</v>
      </c>
      <c r="J97" s="37">
        <f>2330000-101296-200000</f>
        <v>2028704</v>
      </c>
      <c r="K97" s="27">
        <v>97593</v>
      </c>
      <c r="L97" s="28">
        <f t="shared" si="24"/>
        <v>2126297</v>
      </c>
      <c r="M97" s="22">
        <f t="shared" si="21"/>
        <v>2501113</v>
      </c>
    </row>
    <row r="98" spans="1:13" ht="21" customHeight="1" x14ac:dyDescent="0.25">
      <c r="A98" s="35" t="s">
        <v>38</v>
      </c>
      <c r="B98" s="26">
        <v>113956</v>
      </c>
      <c r="C98" s="26">
        <v>10000</v>
      </c>
      <c r="D98" s="26"/>
      <c r="E98" s="27">
        <f t="shared" si="22"/>
        <v>10000</v>
      </c>
      <c r="F98" s="36">
        <v>4000</v>
      </c>
      <c r="G98" s="43"/>
      <c r="H98" s="27"/>
      <c r="I98" s="37">
        <f t="shared" si="23"/>
        <v>0</v>
      </c>
      <c r="J98" s="37">
        <v>0</v>
      </c>
      <c r="K98" s="27">
        <v>0</v>
      </c>
      <c r="L98" s="28">
        <f t="shared" si="24"/>
        <v>0</v>
      </c>
      <c r="M98" s="22">
        <f t="shared" si="21"/>
        <v>127956</v>
      </c>
    </row>
    <row r="99" spans="1:13" ht="21" customHeight="1" x14ac:dyDescent="0.25">
      <c r="A99" s="35" t="s">
        <v>39</v>
      </c>
      <c r="B99" s="26">
        <v>97066</v>
      </c>
      <c r="C99" s="26">
        <f>50000+20000</f>
        <v>70000</v>
      </c>
      <c r="D99" s="26"/>
      <c r="E99" s="27">
        <f t="shared" si="22"/>
        <v>70000</v>
      </c>
      <c r="F99" s="27"/>
      <c r="G99" s="27"/>
      <c r="H99" s="27">
        <v>110000</v>
      </c>
      <c r="I99" s="37">
        <f t="shared" si="23"/>
        <v>110000</v>
      </c>
      <c r="J99" s="37">
        <f>466694+100000</f>
        <v>566694</v>
      </c>
      <c r="K99" s="27">
        <f>38306+200000</f>
        <v>238306</v>
      </c>
      <c r="L99" s="28">
        <f t="shared" si="24"/>
        <v>805000</v>
      </c>
      <c r="M99" s="22">
        <f t="shared" si="21"/>
        <v>1082066</v>
      </c>
    </row>
    <row r="100" spans="1:13" ht="21" customHeight="1" x14ac:dyDescent="0.25">
      <c r="A100" s="25" t="s">
        <v>40</v>
      </c>
      <c r="B100" s="26">
        <v>69409</v>
      </c>
      <c r="C100" s="26">
        <v>55000</v>
      </c>
      <c r="D100" s="26"/>
      <c r="E100" s="27">
        <f t="shared" si="22"/>
        <v>55000</v>
      </c>
      <c r="F100" s="27"/>
      <c r="G100" s="27"/>
      <c r="H100" s="27"/>
      <c r="I100" s="37">
        <f t="shared" si="23"/>
        <v>0</v>
      </c>
      <c r="J100" s="37">
        <f>540000+200000</f>
        <v>740000</v>
      </c>
      <c r="K100" s="27">
        <f>10000+100000</f>
        <v>110000</v>
      </c>
      <c r="L100" s="28">
        <f t="shared" si="24"/>
        <v>850000</v>
      </c>
      <c r="M100" s="22">
        <f t="shared" si="21"/>
        <v>974409</v>
      </c>
    </row>
    <row r="101" spans="1:13" ht="21" customHeight="1" x14ac:dyDescent="0.25">
      <c r="A101" s="31" t="s">
        <v>41</v>
      </c>
      <c r="B101" s="32">
        <f t="shared" ref="B101:M101" si="25">SUM(B102)</f>
        <v>2054461</v>
      </c>
      <c r="C101" s="32">
        <f t="shared" si="25"/>
        <v>350000</v>
      </c>
      <c r="D101" s="32">
        <f t="shared" si="25"/>
        <v>0</v>
      </c>
      <c r="E101" s="32">
        <f t="shared" si="25"/>
        <v>350000</v>
      </c>
      <c r="F101" s="32">
        <f t="shared" si="25"/>
        <v>80000</v>
      </c>
      <c r="G101" s="32">
        <f t="shared" si="25"/>
        <v>10000</v>
      </c>
      <c r="H101" s="32">
        <f t="shared" si="25"/>
        <v>80000</v>
      </c>
      <c r="I101" s="32">
        <f t="shared" si="25"/>
        <v>90000</v>
      </c>
      <c r="J101" s="32">
        <f t="shared" si="25"/>
        <v>300000</v>
      </c>
      <c r="K101" s="32">
        <f t="shared" si="25"/>
        <v>0</v>
      </c>
      <c r="L101" s="32">
        <f t="shared" si="25"/>
        <v>300000</v>
      </c>
      <c r="M101" s="32">
        <f t="shared" si="25"/>
        <v>2874461</v>
      </c>
    </row>
    <row r="102" spans="1:13" ht="21" customHeight="1" x14ac:dyDescent="0.25">
      <c r="A102" s="30" t="s">
        <v>42</v>
      </c>
      <c r="B102" s="27">
        <v>2054461</v>
      </c>
      <c r="C102" s="26">
        <v>350000</v>
      </c>
      <c r="D102" s="27"/>
      <c r="E102" s="27">
        <f t="shared" ref="E102" si="26">SUM(C102:D102)</f>
        <v>350000</v>
      </c>
      <c r="F102" s="37">
        <v>80000</v>
      </c>
      <c r="G102" s="37">
        <v>10000</v>
      </c>
      <c r="H102" s="37">
        <v>80000</v>
      </c>
      <c r="I102" s="37">
        <f t="shared" si="23"/>
        <v>90000</v>
      </c>
      <c r="J102" s="49">
        <v>300000</v>
      </c>
      <c r="K102" s="27"/>
      <c r="L102" s="28">
        <f t="shared" si="24"/>
        <v>300000</v>
      </c>
      <c r="M102" s="22">
        <f t="shared" si="21"/>
        <v>2874461</v>
      </c>
    </row>
    <row r="103" spans="1:13" ht="21" customHeight="1" x14ac:dyDescent="0.25">
      <c r="A103" s="31" t="s">
        <v>43</v>
      </c>
      <c r="B103" s="32">
        <f t="shared" ref="B103:M103" si="27">SUM(B104:B106)</f>
        <v>6914475</v>
      </c>
      <c r="C103" s="32">
        <f t="shared" si="27"/>
        <v>384340</v>
      </c>
      <c r="D103" s="32">
        <f t="shared" si="27"/>
        <v>34000</v>
      </c>
      <c r="E103" s="32">
        <f t="shared" si="27"/>
        <v>418340</v>
      </c>
      <c r="F103" s="32">
        <f t="shared" si="27"/>
        <v>70000</v>
      </c>
      <c r="G103" s="32">
        <f t="shared" si="27"/>
        <v>0</v>
      </c>
      <c r="H103" s="32">
        <f t="shared" si="27"/>
        <v>0</v>
      </c>
      <c r="I103" s="32">
        <f t="shared" si="27"/>
        <v>0</v>
      </c>
      <c r="J103" s="32">
        <f t="shared" si="27"/>
        <v>0</v>
      </c>
      <c r="K103" s="32">
        <f t="shared" si="27"/>
        <v>0</v>
      </c>
      <c r="L103" s="32">
        <f t="shared" si="27"/>
        <v>0</v>
      </c>
      <c r="M103" s="32">
        <f t="shared" si="27"/>
        <v>7402815</v>
      </c>
    </row>
    <row r="104" spans="1:13" ht="21" customHeight="1" x14ac:dyDescent="0.25">
      <c r="A104" s="25" t="s">
        <v>44</v>
      </c>
      <c r="B104" s="26">
        <v>229690</v>
      </c>
      <c r="C104" s="26">
        <v>53000</v>
      </c>
      <c r="D104" s="26">
        <v>34000</v>
      </c>
      <c r="E104" s="27">
        <f t="shared" ref="E104:E106" si="28">SUM(C104:D104)</f>
        <v>87000</v>
      </c>
      <c r="F104" s="37">
        <v>8500</v>
      </c>
      <c r="G104" s="37"/>
      <c r="H104" s="27"/>
      <c r="I104" s="37">
        <f t="shared" si="23"/>
        <v>0</v>
      </c>
      <c r="J104" s="27"/>
      <c r="K104" s="27"/>
      <c r="L104" s="28">
        <f t="shared" si="24"/>
        <v>0</v>
      </c>
      <c r="M104" s="22">
        <f t="shared" si="21"/>
        <v>325190</v>
      </c>
    </row>
    <row r="105" spans="1:13" ht="21" customHeight="1" x14ac:dyDescent="0.25">
      <c r="A105" s="25" t="s">
        <v>45</v>
      </c>
      <c r="B105" s="26">
        <v>5373904</v>
      </c>
      <c r="C105" s="26">
        <f>193237+40000</f>
        <v>233237</v>
      </c>
      <c r="D105" s="26"/>
      <c r="E105" s="27">
        <f t="shared" si="28"/>
        <v>233237</v>
      </c>
      <c r="F105" s="37">
        <v>46500</v>
      </c>
      <c r="G105" s="37"/>
      <c r="H105" s="27"/>
      <c r="I105" s="37">
        <f t="shared" si="23"/>
        <v>0</v>
      </c>
      <c r="J105" s="50"/>
      <c r="K105" s="27"/>
      <c r="L105" s="28">
        <f t="shared" si="24"/>
        <v>0</v>
      </c>
      <c r="M105" s="22">
        <f t="shared" si="21"/>
        <v>5653641</v>
      </c>
    </row>
    <row r="106" spans="1:13" ht="21" customHeight="1" x14ac:dyDescent="0.25">
      <c r="A106" s="25" t="s">
        <v>46</v>
      </c>
      <c r="B106" s="26">
        <v>1310881</v>
      </c>
      <c r="C106" s="26">
        <f>57078+41025</f>
        <v>98103</v>
      </c>
      <c r="D106" s="26"/>
      <c r="E106" s="27">
        <f t="shared" si="28"/>
        <v>98103</v>
      </c>
      <c r="F106" s="37">
        <v>15000</v>
      </c>
      <c r="G106" s="37"/>
      <c r="H106" s="27"/>
      <c r="I106" s="37">
        <f t="shared" si="23"/>
        <v>0</v>
      </c>
      <c r="J106" s="38"/>
      <c r="K106" s="27"/>
      <c r="L106" s="28">
        <f t="shared" si="24"/>
        <v>0</v>
      </c>
      <c r="M106" s="22">
        <f t="shared" si="21"/>
        <v>1423984</v>
      </c>
    </row>
    <row r="107" spans="1:13" ht="21" customHeight="1" x14ac:dyDescent="0.25"/>
    <row r="108" spans="1:13" ht="21" customHeight="1" x14ac:dyDescent="0.25">
      <c r="A108" s="9" t="s">
        <v>54</v>
      </c>
      <c r="B108" s="33"/>
      <c r="C108" s="9" t="s">
        <v>11</v>
      </c>
      <c r="D108" s="9" t="s">
        <v>12</v>
      </c>
      <c r="E108" s="33"/>
      <c r="F108" s="9"/>
      <c r="G108" s="9" t="s">
        <v>11</v>
      </c>
      <c r="H108" s="9" t="s">
        <v>12</v>
      </c>
      <c r="I108" s="9"/>
      <c r="J108" s="9" t="s">
        <v>11</v>
      </c>
      <c r="K108" s="9" t="s">
        <v>12</v>
      </c>
      <c r="L108" s="34"/>
      <c r="M108" s="34"/>
    </row>
    <row r="109" spans="1:13" ht="38.25" x14ac:dyDescent="0.25">
      <c r="A109" s="11" t="s">
        <v>13</v>
      </c>
      <c r="B109" s="12" t="s">
        <v>14</v>
      </c>
      <c r="C109" s="96" t="s">
        <v>15</v>
      </c>
      <c r="D109" s="96"/>
      <c r="E109" s="15" t="s">
        <v>48</v>
      </c>
      <c r="F109" s="15" t="s">
        <v>49</v>
      </c>
      <c r="G109" s="97" t="s">
        <v>18</v>
      </c>
      <c r="H109" s="98"/>
      <c r="I109" s="16" t="s">
        <v>19</v>
      </c>
      <c r="J109" s="99" t="s">
        <v>20</v>
      </c>
      <c r="K109" s="99"/>
      <c r="L109" s="15" t="s">
        <v>21</v>
      </c>
      <c r="M109" s="12" t="s">
        <v>22</v>
      </c>
    </row>
    <row r="110" spans="1:13" ht="21" customHeight="1" x14ac:dyDescent="0.25">
      <c r="A110" s="18" t="s">
        <v>23</v>
      </c>
      <c r="B110" s="51">
        <f>B113+B130+B132</f>
        <v>11356833</v>
      </c>
      <c r="C110" s="19">
        <f t="shared" ref="C110" si="29">C113+C130+C132</f>
        <v>2409341</v>
      </c>
      <c r="D110" s="19">
        <f>D113+D130+D132</f>
        <v>240659</v>
      </c>
      <c r="E110" s="51">
        <f>E113+E130+E132</f>
        <v>2650000</v>
      </c>
      <c r="F110" s="51">
        <f t="shared" ref="F110:G110" si="30">F113+F130+F132</f>
        <v>400000</v>
      </c>
      <c r="G110" s="19">
        <f t="shared" si="30"/>
        <v>10000</v>
      </c>
      <c r="H110" s="19">
        <f>H113+H130+H132</f>
        <v>930000</v>
      </c>
      <c r="I110" s="51">
        <f>I113+I130+I132</f>
        <v>940000</v>
      </c>
      <c r="J110" s="19">
        <f t="shared" ref="J110:L110" si="31">J113+J130+J132</f>
        <v>6137179</v>
      </c>
      <c r="K110" s="19">
        <f t="shared" si="31"/>
        <v>595899</v>
      </c>
      <c r="L110" s="51">
        <f t="shared" si="31"/>
        <v>6733078</v>
      </c>
      <c r="M110" s="19">
        <f>B110+E110+F110+I110+L110</f>
        <v>22079911</v>
      </c>
    </row>
    <row r="111" spans="1:13" s="59" customFormat="1" ht="21" customHeight="1" x14ac:dyDescent="0.25">
      <c r="A111" s="56"/>
      <c r="B111" s="58">
        <v>11356833</v>
      </c>
      <c r="C111" s="57"/>
      <c r="D111" s="57"/>
      <c r="E111" s="58">
        <v>2650000</v>
      </c>
      <c r="F111" s="58">
        <v>400000</v>
      </c>
      <c r="G111" s="57"/>
      <c r="H111" s="57"/>
      <c r="I111" s="58">
        <v>940000</v>
      </c>
      <c r="J111" s="57"/>
      <c r="K111" s="57"/>
      <c r="L111" s="58">
        <v>6733078</v>
      </c>
      <c r="M111" s="57">
        <f>B111+E111+F111+I111+L111</f>
        <v>22079911</v>
      </c>
    </row>
    <row r="112" spans="1:13" ht="21" customHeight="1" x14ac:dyDescent="0.25">
      <c r="A112" s="20"/>
      <c r="B112" s="60">
        <f>B110-B111</f>
        <v>0</v>
      </c>
      <c r="C112" s="61"/>
      <c r="D112" s="61"/>
      <c r="E112" s="60">
        <f>E110-E111</f>
        <v>0</v>
      </c>
      <c r="F112" s="60">
        <f>F110-F111</f>
        <v>0</v>
      </c>
      <c r="G112" s="62"/>
      <c r="H112" s="62"/>
      <c r="I112" s="60">
        <f>I110-I111</f>
        <v>0</v>
      </c>
      <c r="J112" s="62"/>
      <c r="K112" s="62"/>
      <c r="L112" s="60">
        <f>L110-L111</f>
        <v>0</v>
      </c>
      <c r="M112" s="62"/>
    </row>
    <row r="113" spans="1:13" ht="21" customHeight="1" x14ac:dyDescent="0.25">
      <c r="A113" s="23" t="s">
        <v>24</v>
      </c>
      <c r="B113" s="24">
        <f t="shared" ref="B113:M113" si="32">SUM(B114:B129)</f>
        <v>1939761</v>
      </c>
      <c r="C113" s="24">
        <f t="shared" si="32"/>
        <v>1675001</v>
      </c>
      <c r="D113" s="24">
        <f t="shared" si="32"/>
        <v>206659</v>
      </c>
      <c r="E113" s="24">
        <f t="shared" si="32"/>
        <v>1881660</v>
      </c>
      <c r="F113" s="24">
        <f t="shared" si="32"/>
        <v>250000</v>
      </c>
      <c r="G113" s="24">
        <f t="shared" si="32"/>
        <v>0</v>
      </c>
      <c r="H113" s="24">
        <f t="shared" si="32"/>
        <v>850000</v>
      </c>
      <c r="I113" s="24">
        <f t="shared" si="32"/>
        <v>850000</v>
      </c>
      <c r="J113" s="24">
        <f t="shared" si="32"/>
        <v>5767179</v>
      </c>
      <c r="K113" s="24">
        <f t="shared" si="32"/>
        <v>595899</v>
      </c>
      <c r="L113" s="24">
        <f t="shared" si="32"/>
        <v>6363078</v>
      </c>
      <c r="M113" s="24">
        <f t="shared" si="32"/>
        <v>11284499</v>
      </c>
    </row>
    <row r="114" spans="1:13" x14ac:dyDescent="0.25">
      <c r="A114" s="35" t="s">
        <v>25</v>
      </c>
      <c r="B114" s="26">
        <v>208526</v>
      </c>
      <c r="C114" s="26">
        <v>55000</v>
      </c>
      <c r="D114" s="26"/>
      <c r="E114" s="27">
        <f>SUM(C114:D114)</f>
        <v>55000</v>
      </c>
      <c r="F114" s="27"/>
      <c r="G114" s="27"/>
      <c r="H114" s="27">
        <f>160000+241680-151680-50000+20000</f>
        <v>220000</v>
      </c>
      <c r="I114" s="37">
        <f>G114+H114</f>
        <v>220000</v>
      </c>
      <c r="J114" s="37">
        <v>0</v>
      </c>
      <c r="K114" s="27">
        <v>0</v>
      </c>
      <c r="L114" s="28">
        <f>J114+K114</f>
        <v>0</v>
      </c>
      <c r="M114" s="22">
        <f t="shared" ref="M114:M129" si="33">B114+E114+F114+I114+L114</f>
        <v>483526</v>
      </c>
    </row>
    <row r="115" spans="1:13" x14ac:dyDescent="0.25">
      <c r="A115" s="35" t="s">
        <v>26</v>
      </c>
      <c r="B115" s="26">
        <v>263394</v>
      </c>
      <c r="C115" s="26">
        <v>120000</v>
      </c>
      <c r="D115" s="26">
        <v>28000</v>
      </c>
      <c r="E115" s="27">
        <f t="shared" ref="E115:E129" si="34">SUM(C115:D115)</f>
        <v>148000</v>
      </c>
      <c r="F115" s="27"/>
      <c r="G115" s="27"/>
      <c r="H115" s="27"/>
      <c r="I115" s="37">
        <f t="shared" ref="I115:I129" si="35">G115+H115</f>
        <v>0</v>
      </c>
      <c r="J115" s="37">
        <v>0</v>
      </c>
      <c r="K115" s="27">
        <v>0</v>
      </c>
      <c r="L115" s="28">
        <f t="shared" ref="L115:L129" si="36">J115+K115</f>
        <v>0</v>
      </c>
      <c r="M115" s="22">
        <f t="shared" si="33"/>
        <v>411394</v>
      </c>
    </row>
    <row r="116" spans="1:13" x14ac:dyDescent="0.25">
      <c r="A116" s="35" t="s">
        <v>27</v>
      </c>
      <c r="B116" s="26">
        <v>5805</v>
      </c>
      <c r="C116" s="26">
        <v>2000</v>
      </c>
      <c r="D116" s="26"/>
      <c r="E116" s="27">
        <f t="shared" si="34"/>
        <v>2000</v>
      </c>
      <c r="F116" s="27"/>
      <c r="G116" s="27"/>
      <c r="H116" s="27"/>
      <c r="I116" s="37">
        <f t="shared" si="35"/>
        <v>0</v>
      </c>
      <c r="J116" s="37">
        <v>0</v>
      </c>
      <c r="K116" s="27">
        <v>0</v>
      </c>
      <c r="L116" s="28">
        <f t="shared" si="36"/>
        <v>0</v>
      </c>
      <c r="M116" s="22">
        <f t="shared" si="33"/>
        <v>7805</v>
      </c>
    </row>
    <row r="117" spans="1:13" x14ac:dyDescent="0.25">
      <c r="A117" s="35" t="s">
        <v>28</v>
      </c>
      <c r="B117" s="26">
        <v>122599</v>
      </c>
      <c r="C117" s="26">
        <v>60000</v>
      </c>
      <c r="D117" s="26"/>
      <c r="E117" s="27">
        <f t="shared" si="34"/>
        <v>60000</v>
      </c>
      <c r="F117" s="27"/>
      <c r="G117" s="27"/>
      <c r="H117" s="27"/>
      <c r="I117" s="37">
        <f t="shared" si="35"/>
        <v>0</v>
      </c>
      <c r="J117" s="37">
        <v>0</v>
      </c>
      <c r="K117" s="27">
        <v>0</v>
      </c>
      <c r="L117" s="28">
        <f t="shared" si="36"/>
        <v>0</v>
      </c>
      <c r="M117" s="22">
        <f t="shared" si="33"/>
        <v>182599</v>
      </c>
    </row>
    <row r="118" spans="1:13" x14ac:dyDescent="0.25">
      <c r="A118" s="35" t="s">
        <v>29</v>
      </c>
      <c r="B118" s="26">
        <v>322060</v>
      </c>
      <c r="C118" s="26">
        <v>17000</v>
      </c>
      <c r="D118" s="26"/>
      <c r="E118" s="27">
        <f t="shared" si="34"/>
        <v>17000</v>
      </c>
      <c r="F118" s="27"/>
      <c r="G118" s="27"/>
      <c r="H118" s="27"/>
      <c r="I118" s="37">
        <f t="shared" si="35"/>
        <v>0</v>
      </c>
      <c r="J118" s="37">
        <v>0</v>
      </c>
      <c r="K118" s="27">
        <v>0</v>
      </c>
      <c r="L118" s="28">
        <f t="shared" si="36"/>
        <v>0</v>
      </c>
      <c r="M118" s="22">
        <f t="shared" si="33"/>
        <v>339060</v>
      </c>
    </row>
    <row r="119" spans="1:13" x14ac:dyDescent="0.25">
      <c r="A119" s="35" t="s">
        <v>30</v>
      </c>
      <c r="B119" s="26">
        <v>120298</v>
      </c>
      <c r="C119" s="26">
        <v>200000</v>
      </c>
      <c r="D119" s="27"/>
      <c r="E119" s="27">
        <f t="shared" si="34"/>
        <v>200000</v>
      </c>
      <c r="F119" s="27"/>
      <c r="G119" s="27"/>
      <c r="H119" s="27"/>
      <c r="I119" s="37">
        <f t="shared" si="35"/>
        <v>0</v>
      </c>
      <c r="J119" s="37">
        <v>100000</v>
      </c>
      <c r="K119" s="27">
        <v>70000</v>
      </c>
      <c r="L119" s="28">
        <f t="shared" si="36"/>
        <v>170000</v>
      </c>
      <c r="M119" s="22">
        <f t="shared" si="33"/>
        <v>490298</v>
      </c>
    </row>
    <row r="120" spans="1:13" x14ac:dyDescent="0.25">
      <c r="A120" s="35" t="s">
        <v>31</v>
      </c>
      <c r="B120" s="26">
        <v>35064</v>
      </c>
      <c r="C120" s="26">
        <f>390000+70000+110000+40001</f>
        <v>610001</v>
      </c>
      <c r="D120" s="26">
        <f>35000+50000</f>
        <v>85000</v>
      </c>
      <c r="E120" s="27">
        <f t="shared" si="34"/>
        <v>695001</v>
      </c>
      <c r="F120" s="27">
        <f>221000+25000</f>
        <v>246000</v>
      </c>
      <c r="G120" s="37"/>
      <c r="H120" s="27">
        <v>50000</v>
      </c>
      <c r="I120" s="37">
        <f t="shared" si="35"/>
        <v>50000</v>
      </c>
      <c r="J120" s="37">
        <f>1021120+50000</f>
        <v>1071120</v>
      </c>
      <c r="K120" s="27"/>
      <c r="L120" s="28">
        <f t="shared" si="36"/>
        <v>1071120</v>
      </c>
      <c r="M120" s="22">
        <f t="shared" si="33"/>
        <v>2097185</v>
      </c>
    </row>
    <row r="121" spans="1:13" x14ac:dyDescent="0.25">
      <c r="A121" s="35" t="s">
        <v>32</v>
      </c>
      <c r="B121" s="26">
        <v>172750</v>
      </c>
      <c r="C121" s="26">
        <v>15000</v>
      </c>
      <c r="D121" s="26"/>
      <c r="E121" s="27">
        <f t="shared" si="34"/>
        <v>15000</v>
      </c>
      <c r="F121" s="27"/>
      <c r="G121" s="27"/>
      <c r="H121" s="27"/>
      <c r="I121" s="37">
        <f t="shared" si="35"/>
        <v>0</v>
      </c>
      <c r="J121" s="37">
        <v>0</v>
      </c>
      <c r="K121" s="27">
        <v>0</v>
      </c>
      <c r="L121" s="28">
        <f t="shared" si="36"/>
        <v>0</v>
      </c>
      <c r="M121" s="22">
        <f t="shared" si="33"/>
        <v>187750</v>
      </c>
    </row>
    <row r="122" spans="1:13" x14ac:dyDescent="0.25">
      <c r="A122" s="35" t="s">
        <v>33</v>
      </c>
      <c r="B122" s="26">
        <v>111200</v>
      </c>
      <c r="C122" s="26">
        <v>15000</v>
      </c>
      <c r="D122" s="26"/>
      <c r="E122" s="27">
        <f t="shared" si="34"/>
        <v>15000</v>
      </c>
      <c r="F122" s="27"/>
      <c r="G122" s="27"/>
      <c r="H122" s="27"/>
      <c r="I122" s="37">
        <f t="shared" si="35"/>
        <v>0</v>
      </c>
      <c r="J122" s="37">
        <v>0</v>
      </c>
      <c r="K122" s="27">
        <v>20000</v>
      </c>
      <c r="L122" s="28">
        <f t="shared" si="36"/>
        <v>20000</v>
      </c>
      <c r="M122" s="22">
        <f t="shared" si="33"/>
        <v>146200</v>
      </c>
    </row>
    <row r="123" spans="1:13" ht="15.75" customHeight="1" x14ac:dyDescent="0.25">
      <c r="A123" s="35" t="s">
        <v>34</v>
      </c>
      <c r="B123" s="26">
        <v>85002</v>
      </c>
      <c r="C123" s="26">
        <v>90000</v>
      </c>
      <c r="D123" s="26"/>
      <c r="E123" s="27">
        <f t="shared" si="34"/>
        <v>90000</v>
      </c>
      <c r="F123" s="27"/>
      <c r="G123" s="27"/>
      <c r="H123" s="27">
        <v>450000</v>
      </c>
      <c r="I123" s="37">
        <f t="shared" si="35"/>
        <v>450000</v>
      </c>
      <c r="J123" s="37">
        <v>1000000</v>
      </c>
      <c r="K123" s="27">
        <f>140000-90000</f>
        <v>50000</v>
      </c>
      <c r="L123" s="28">
        <f t="shared" si="36"/>
        <v>1050000</v>
      </c>
      <c r="M123" s="22">
        <f t="shared" si="33"/>
        <v>1675002</v>
      </c>
    </row>
    <row r="124" spans="1:13" ht="18.75" customHeight="1" x14ac:dyDescent="0.25">
      <c r="A124" s="35" t="s">
        <v>35</v>
      </c>
      <c r="B124" s="26">
        <v>58467</v>
      </c>
      <c r="C124" s="26">
        <f>17000+3000</f>
        <v>20000</v>
      </c>
      <c r="D124" s="26"/>
      <c r="E124" s="27">
        <f t="shared" si="34"/>
        <v>20000</v>
      </c>
      <c r="F124" s="27"/>
      <c r="G124" s="27"/>
      <c r="H124" s="27">
        <v>20000</v>
      </c>
      <c r="I124" s="37">
        <f t="shared" si="35"/>
        <v>20000</v>
      </c>
      <c r="J124" s="37">
        <v>60000</v>
      </c>
      <c r="K124" s="27">
        <v>10000</v>
      </c>
      <c r="L124" s="28">
        <f t="shared" si="36"/>
        <v>70000</v>
      </c>
      <c r="M124" s="22">
        <f t="shared" si="33"/>
        <v>168467</v>
      </c>
    </row>
    <row r="125" spans="1:13" x14ac:dyDescent="0.25">
      <c r="A125" s="35" t="s">
        <v>36</v>
      </c>
      <c r="B125" s="26">
        <v>82319</v>
      </c>
      <c r="C125" s="26">
        <v>16000</v>
      </c>
      <c r="D125" s="26"/>
      <c r="E125" s="27">
        <f t="shared" si="34"/>
        <v>16000</v>
      </c>
      <c r="F125" s="27"/>
      <c r="G125" s="27"/>
      <c r="H125" s="27"/>
      <c r="I125" s="37">
        <f t="shared" si="35"/>
        <v>0</v>
      </c>
      <c r="J125" s="37">
        <v>0</v>
      </c>
      <c r="K125" s="27">
        <v>0</v>
      </c>
      <c r="L125" s="28">
        <f t="shared" si="36"/>
        <v>0</v>
      </c>
      <c r="M125" s="22">
        <f t="shared" si="33"/>
        <v>98319</v>
      </c>
    </row>
    <row r="126" spans="1:13" x14ac:dyDescent="0.25">
      <c r="A126" s="35" t="s">
        <v>37</v>
      </c>
      <c r="B126" s="26">
        <v>57557</v>
      </c>
      <c r="C126" s="26">
        <f>180000+140000</f>
        <v>320000</v>
      </c>
      <c r="D126" s="26">
        <v>93659</v>
      </c>
      <c r="E126" s="27">
        <f t="shared" si="34"/>
        <v>413659</v>
      </c>
      <c r="F126" s="27"/>
      <c r="G126" s="27"/>
      <c r="H126" s="27"/>
      <c r="I126" s="37">
        <f t="shared" si="35"/>
        <v>0</v>
      </c>
      <c r="J126" s="37">
        <f>2330000-101296-200000+50661</f>
        <v>2079365</v>
      </c>
      <c r="K126" s="27">
        <v>97593</v>
      </c>
      <c r="L126" s="28">
        <f t="shared" si="36"/>
        <v>2176958</v>
      </c>
      <c r="M126" s="22">
        <f t="shared" si="33"/>
        <v>2648174</v>
      </c>
    </row>
    <row r="127" spans="1:13" x14ac:dyDescent="0.25">
      <c r="A127" s="35" t="s">
        <v>38</v>
      </c>
      <c r="B127" s="26">
        <v>119920</v>
      </c>
      <c r="C127" s="26">
        <v>10000</v>
      </c>
      <c r="D127" s="26"/>
      <c r="E127" s="27">
        <f t="shared" si="34"/>
        <v>10000</v>
      </c>
      <c r="F127" s="36">
        <v>4000</v>
      </c>
      <c r="G127" s="43"/>
      <c r="H127" s="27"/>
      <c r="I127" s="37">
        <f t="shared" si="35"/>
        <v>0</v>
      </c>
      <c r="J127" s="37">
        <v>0</v>
      </c>
      <c r="K127" s="27">
        <v>0</v>
      </c>
      <c r="L127" s="28">
        <f t="shared" si="36"/>
        <v>0</v>
      </c>
      <c r="M127" s="22">
        <f t="shared" si="33"/>
        <v>133920</v>
      </c>
    </row>
    <row r="128" spans="1:13" x14ac:dyDescent="0.25">
      <c r="A128" s="35" t="s">
        <v>39</v>
      </c>
      <c r="B128" s="26">
        <v>101920</v>
      </c>
      <c r="C128" s="26">
        <f>50000+20000</f>
        <v>70000</v>
      </c>
      <c r="D128" s="26"/>
      <c r="E128" s="27">
        <f t="shared" si="34"/>
        <v>70000</v>
      </c>
      <c r="F128" s="27"/>
      <c r="G128" s="27"/>
      <c r="H128" s="27">
        <v>110000</v>
      </c>
      <c r="I128" s="37">
        <f t="shared" si="35"/>
        <v>110000</v>
      </c>
      <c r="J128" s="37">
        <f>466694+100000+80000</f>
        <v>646694</v>
      </c>
      <c r="K128" s="27">
        <f>38306+200000</f>
        <v>238306</v>
      </c>
      <c r="L128" s="28">
        <f t="shared" si="36"/>
        <v>885000</v>
      </c>
      <c r="M128" s="22">
        <f t="shared" si="33"/>
        <v>1166920</v>
      </c>
    </row>
    <row r="129" spans="1:13" x14ac:dyDescent="0.25">
      <c r="A129" s="25" t="s">
        <v>40</v>
      </c>
      <c r="B129" s="26">
        <v>72880</v>
      </c>
      <c r="C129" s="26">
        <v>55000</v>
      </c>
      <c r="D129" s="26"/>
      <c r="E129" s="27">
        <f t="shared" si="34"/>
        <v>55000</v>
      </c>
      <c r="F129" s="27"/>
      <c r="G129" s="27"/>
      <c r="H129" s="27"/>
      <c r="I129" s="37">
        <f t="shared" si="35"/>
        <v>0</v>
      </c>
      <c r="J129" s="37">
        <f>540000+200000+70000</f>
        <v>810000</v>
      </c>
      <c r="K129" s="27">
        <f>10000+100000</f>
        <v>110000</v>
      </c>
      <c r="L129" s="28">
        <f t="shared" si="36"/>
        <v>920000</v>
      </c>
      <c r="M129" s="22">
        <f t="shared" si="33"/>
        <v>1047880</v>
      </c>
    </row>
    <row r="130" spans="1:13" x14ac:dyDescent="0.25">
      <c r="A130" s="31" t="s">
        <v>41</v>
      </c>
      <c r="B130" s="32">
        <f t="shared" ref="B130:M130" si="37">SUM(B131)</f>
        <v>2157148</v>
      </c>
      <c r="C130" s="32">
        <f t="shared" si="37"/>
        <v>350000</v>
      </c>
      <c r="D130" s="32">
        <f t="shared" si="37"/>
        <v>0</v>
      </c>
      <c r="E130" s="32">
        <f t="shared" si="37"/>
        <v>350000</v>
      </c>
      <c r="F130" s="32">
        <f t="shared" si="37"/>
        <v>80000</v>
      </c>
      <c r="G130" s="32">
        <f t="shared" si="37"/>
        <v>10000</v>
      </c>
      <c r="H130" s="32">
        <f t="shared" si="37"/>
        <v>80000</v>
      </c>
      <c r="I130" s="32">
        <f t="shared" si="37"/>
        <v>90000</v>
      </c>
      <c r="J130" s="32">
        <f t="shared" si="37"/>
        <v>370000</v>
      </c>
      <c r="K130" s="32">
        <f t="shared" si="37"/>
        <v>0</v>
      </c>
      <c r="L130" s="32">
        <f t="shared" si="37"/>
        <v>370000</v>
      </c>
      <c r="M130" s="32">
        <f t="shared" si="37"/>
        <v>3047148</v>
      </c>
    </row>
    <row r="131" spans="1:13" ht="31.5" customHeight="1" x14ac:dyDescent="0.25">
      <c r="A131" s="30" t="s">
        <v>42</v>
      </c>
      <c r="B131" s="26">
        <v>2157148</v>
      </c>
      <c r="C131" s="26">
        <v>350000</v>
      </c>
      <c r="D131" s="27"/>
      <c r="E131" s="27">
        <f t="shared" ref="E131" si="38">SUM(C131:D131)</f>
        <v>350000</v>
      </c>
      <c r="F131" s="37">
        <v>80000</v>
      </c>
      <c r="G131" s="37">
        <v>10000</v>
      </c>
      <c r="H131" s="37">
        <v>80000</v>
      </c>
      <c r="I131" s="37">
        <f t="shared" ref="I131" si="39">G131+H131</f>
        <v>90000</v>
      </c>
      <c r="J131" s="49">
        <f>300000+70000</f>
        <v>370000</v>
      </c>
      <c r="K131" s="27"/>
      <c r="L131" s="28">
        <f t="shared" ref="L131" si="40">J131+K131</f>
        <v>370000</v>
      </c>
      <c r="M131" s="44">
        <f t="shared" ref="M131" si="41">B131+E131+F131+I131+L131</f>
        <v>3047148</v>
      </c>
    </row>
    <row r="132" spans="1:13" x14ac:dyDescent="0.25">
      <c r="A132" s="31" t="s">
        <v>43</v>
      </c>
      <c r="B132" s="32">
        <f>SUM(B133:B135)</f>
        <v>7259924</v>
      </c>
      <c r="C132" s="32">
        <f t="shared" ref="C132:L132" si="42">SUM(C133:C135)</f>
        <v>384340</v>
      </c>
      <c r="D132" s="32">
        <f t="shared" si="42"/>
        <v>34000</v>
      </c>
      <c r="E132" s="32">
        <f t="shared" si="42"/>
        <v>418340</v>
      </c>
      <c r="F132" s="32">
        <f t="shared" si="42"/>
        <v>70000</v>
      </c>
      <c r="G132" s="32">
        <f t="shared" si="42"/>
        <v>0</v>
      </c>
      <c r="H132" s="32">
        <f t="shared" si="42"/>
        <v>0</v>
      </c>
      <c r="I132" s="32">
        <f t="shared" si="42"/>
        <v>0</v>
      </c>
      <c r="J132" s="32">
        <f t="shared" si="42"/>
        <v>0</v>
      </c>
      <c r="K132" s="32">
        <f t="shared" si="42"/>
        <v>0</v>
      </c>
      <c r="L132" s="32">
        <f t="shared" si="42"/>
        <v>0</v>
      </c>
      <c r="M132" s="32">
        <f t="shared" ref="M132" si="43">SUM(M133:M135)</f>
        <v>7748264</v>
      </c>
    </row>
    <row r="133" spans="1:13" ht="21" customHeight="1" x14ac:dyDescent="0.25">
      <c r="A133" s="25" t="s">
        <v>44</v>
      </c>
      <c r="B133" s="26">
        <v>243729</v>
      </c>
      <c r="C133" s="26">
        <v>53000</v>
      </c>
      <c r="D133" s="26">
        <v>34000</v>
      </c>
      <c r="E133" s="27">
        <f t="shared" ref="E133:E135" si="44">SUM(C133:D133)</f>
        <v>87000</v>
      </c>
      <c r="F133" s="37">
        <v>8500</v>
      </c>
      <c r="G133" s="37"/>
      <c r="H133" s="27"/>
      <c r="I133" s="37">
        <f t="shared" ref="I133:I135" si="45">G133+H133</f>
        <v>0</v>
      </c>
      <c r="J133" s="27"/>
      <c r="K133" s="27"/>
      <c r="L133" s="28">
        <f t="shared" ref="L133:L135" si="46">J133+K133</f>
        <v>0</v>
      </c>
      <c r="M133" s="22">
        <f t="shared" ref="M133:M135" si="47">B133+E133+F133+I133+L133</f>
        <v>339229</v>
      </c>
    </row>
    <row r="134" spans="1:13" ht="21" customHeight="1" x14ac:dyDescent="0.25">
      <c r="A134" s="25" t="s">
        <v>45</v>
      </c>
      <c r="B134" s="26">
        <v>5646099</v>
      </c>
      <c r="C134" s="26">
        <f>193237+40000</f>
        <v>233237</v>
      </c>
      <c r="D134" s="26"/>
      <c r="E134" s="27">
        <f t="shared" si="44"/>
        <v>233237</v>
      </c>
      <c r="F134" s="37">
        <v>46500</v>
      </c>
      <c r="G134" s="37"/>
      <c r="H134" s="27"/>
      <c r="I134" s="37">
        <f t="shared" si="45"/>
        <v>0</v>
      </c>
      <c r="J134" s="50"/>
      <c r="K134" s="27"/>
      <c r="L134" s="28">
        <f t="shared" si="46"/>
        <v>0</v>
      </c>
      <c r="M134" s="22">
        <f t="shared" si="47"/>
        <v>5925836</v>
      </c>
    </row>
    <row r="135" spans="1:13" ht="21" customHeight="1" x14ac:dyDescent="0.25">
      <c r="A135" s="25" t="s">
        <v>46</v>
      </c>
      <c r="B135" s="26">
        <v>1370096</v>
      </c>
      <c r="C135" s="26">
        <f>57078+41025</f>
        <v>98103</v>
      </c>
      <c r="D135" s="26"/>
      <c r="E135" s="27">
        <f t="shared" si="44"/>
        <v>98103</v>
      </c>
      <c r="F135" s="37">
        <v>15000</v>
      </c>
      <c r="G135" s="37"/>
      <c r="H135" s="27"/>
      <c r="I135" s="37">
        <f t="shared" si="45"/>
        <v>0</v>
      </c>
      <c r="J135" s="38"/>
      <c r="K135" s="27"/>
      <c r="L135" s="28">
        <f t="shared" si="46"/>
        <v>0</v>
      </c>
      <c r="M135" s="22">
        <f t="shared" si="47"/>
        <v>1483199</v>
      </c>
    </row>
    <row r="136" spans="1:13" ht="21" customHeight="1" x14ac:dyDescent="0.25"/>
    <row r="137" spans="1:13" ht="21" customHeight="1" x14ac:dyDescent="0.25"/>
  </sheetData>
  <mergeCells count="50">
    <mergeCell ref="C109:D109"/>
    <mergeCell ref="G109:H109"/>
    <mergeCell ref="J109:K109"/>
    <mergeCell ref="C51:D51"/>
    <mergeCell ref="G51:H51"/>
    <mergeCell ref="J51:K51"/>
    <mergeCell ref="C80:D80"/>
    <mergeCell ref="G80:H80"/>
    <mergeCell ref="J80:K80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1:C11"/>
    <mergeCell ref="D11:E11"/>
    <mergeCell ref="F11:G11"/>
    <mergeCell ref="H11:I11"/>
    <mergeCell ref="A4:L4"/>
    <mergeCell ref="A5:L5"/>
    <mergeCell ref="A6:L6"/>
    <mergeCell ref="A7:L7"/>
    <mergeCell ref="A10:D10"/>
  </mergeCells>
  <pageMargins left="0.25" right="0.25" top="0" bottom="0" header="0.3" footer="0.3"/>
  <pageSetup scale="65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8"/>
  <sheetViews>
    <sheetView tabSelected="1" zoomScale="110" zoomScaleNormal="110" workbookViewId="0">
      <selection activeCell="A13" sqref="A13"/>
    </sheetView>
  </sheetViews>
  <sheetFormatPr defaultRowHeight="15" x14ac:dyDescent="0.25"/>
  <cols>
    <col min="1" max="1" width="29.28515625" customWidth="1"/>
    <col min="2" max="3" width="13.5703125" customWidth="1"/>
    <col min="4" max="4" width="11" bestFit="1" customWidth="1"/>
    <col min="5" max="5" width="14.85546875" customWidth="1"/>
    <col min="6" max="6" width="11" customWidth="1"/>
    <col min="7" max="7" width="11.140625" customWidth="1"/>
    <col min="8" max="8" width="12.140625" bestFit="1" customWidth="1"/>
    <col min="9" max="9" width="11.28515625" customWidth="1"/>
    <col min="10" max="10" width="14" customWidth="1"/>
    <col min="11" max="11" width="12.42578125" customWidth="1"/>
    <col min="12" max="12" width="13.140625" customWidth="1"/>
    <col min="13" max="13" width="12.7109375" customWidth="1"/>
  </cols>
  <sheetData>
    <row r="3" spans="1:12" ht="26.25" x14ac:dyDescent="0.25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23.25" x14ac:dyDescent="0.25">
      <c r="A4" s="125" t="s">
        <v>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ht="23.25" x14ac:dyDescent="0.25">
      <c r="A5" s="125" t="s">
        <v>52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ht="21" x14ac:dyDescent="0.25">
      <c r="A6" s="124" t="s">
        <v>53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9" spans="1:12" ht="20.25" x14ac:dyDescent="0.3">
      <c r="A9" s="106" t="s">
        <v>56</v>
      </c>
      <c r="B9" s="106"/>
      <c r="C9" s="106"/>
      <c r="D9" s="106"/>
      <c r="E9" s="106"/>
      <c r="F9" s="106"/>
      <c r="G9" s="106"/>
      <c r="H9" s="106"/>
      <c r="I9" s="106"/>
    </row>
    <row r="10" spans="1:12" ht="20.25" x14ac:dyDescent="0.3">
      <c r="A10" s="2"/>
      <c r="B10" s="107">
        <v>2023</v>
      </c>
      <c r="C10" s="108"/>
      <c r="D10" s="107">
        <v>2024</v>
      </c>
      <c r="E10" s="108"/>
      <c r="F10" s="107">
        <v>2025</v>
      </c>
      <c r="G10" s="108"/>
      <c r="H10" s="107">
        <v>2026</v>
      </c>
      <c r="I10" s="108"/>
    </row>
    <row r="11" spans="1:12" ht="18.75" x14ac:dyDescent="0.25">
      <c r="A11" s="3" t="s">
        <v>3</v>
      </c>
      <c r="B11" s="111">
        <f>B12+B13</f>
        <v>17548240</v>
      </c>
      <c r="C11" s="112"/>
      <c r="D11" s="111">
        <f>D12+D13</f>
        <v>19804785</v>
      </c>
      <c r="E11" s="112"/>
      <c r="F11" s="111">
        <f>F12+F13</f>
        <v>20844790</v>
      </c>
      <c r="G11" s="112"/>
      <c r="H11" s="111">
        <f>H12+H13</f>
        <v>21879911</v>
      </c>
      <c r="I11" s="112"/>
      <c r="J11" s="65"/>
    </row>
    <row r="12" spans="1:12" ht="18" customHeight="1" x14ac:dyDescent="0.25">
      <c r="A12" s="45" t="s">
        <v>57</v>
      </c>
      <c r="B12" s="109">
        <v>1445603</v>
      </c>
      <c r="C12" s="110"/>
      <c r="D12" s="109">
        <v>1614904</v>
      </c>
      <c r="E12" s="110"/>
      <c r="F12" s="109">
        <v>1677349</v>
      </c>
      <c r="G12" s="110"/>
      <c r="H12" s="109">
        <v>1760591</v>
      </c>
      <c r="I12" s="110"/>
      <c r="J12" s="65"/>
    </row>
    <row r="13" spans="1:12" ht="15" customHeight="1" x14ac:dyDescent="0.25">
      <c r="A13" s="4" t="s">
        <v>5</v>
      </c>
      <c r="B13" s="113">
        <f>SUM(B14:B18)</f>
        <v>16102637</v>
      </c>
      <c r="C13" s="114"/>
      <c r="D13" s="113">
        <f>SUM(D14:D18)</f>
        <v>18189881</v>
      </c>
      <c r="E13" s="114"/>
      <c r="F13" s="113">
        <f>SUM(F14:F18)</f>
        <v>19167441</v>
      </c>
      <c r="G13" s="114"/>
      <c r="H13" s="113">
        <f>SUM(H14:H18)</f>
        <v>20119320</v>
      </c>
      <c r="I13" s="114"/>
      <c r="J13" s="65"/>
    </row>
    <row r="14" spans="1:12" ht="18.75" x14ac:dyDescent="0.3">
      <c r="A14" s="5" t="s">
        <v>6</v>
      </c>
      <c r="B14" s="93">
        <v>7605075</v>
      </c>
      <c r="C14" s="94"/>
      <c r="D14" s="93">
        <v>8486139</v>
      </c>
      <c r="E14" s="94"/>
      <c r="F14" s="93">
        <v>9122735</v>
      </c>
      <c r="G14" s="94"/>
      <c r="H14" s="93">
        <v>9720884</v>
      </c>
      <c r="I14" s="94"/>
      <c r="J14" s="65"/>
    </row>
    <row r="15" spans="1:12" ht="18.75" x14ac:dyDescent="0.3">
      <c r="A15" s="5" t="s">
        <v>7</v>
      </c>
      <c r="B15" s="93">
        <v>2600038</v>
      </c>
      <c r="C15" s="94"/>
      <c r="D15" s="93">
        <v>2536204</v>
      </c>
      <c r="E15" s="94"/>
      <c r="F15" s="93">
        <v>2663014</v>
      </c>
      <c r="G15" s="94"/>
      <c r="H15" s="93">
        <v>2796165</v>
      </c>
      <c r="I15" s="94"/>
      <c r="J15" s="65"/>
    </row>
    <row r="16" spans="1:12" ht="18.75" x14ac:dyDescent="0.3">
      <c r="A16" s="5" t="s">
        <v>8</v>
      </c>
      <c r="B16" s="93">
        <v>5872245</v>
      </c>
      <c r="C16" s="94"/>
      <c r="D16" s="93">
        <v>7138467</v>
      </c>
      <c r="E16" s="94"/>
      <c r="F16" s="93">
        <v>7352621</v>
      </c>
      <c r="G16" s="94"/>
      <c r="H16" s="93">
        <v>7573200</v>
      </c>
      <c r="I16" s="94"/>
      <c r="J16" s="65"/>
    </row>
    <row r="17" spans="1:13" ht="18.75" x14ac:dyDescent="0.3">
      <c r="A17" s="5" t="s">
        <v>9</v>
      </c>
      <c r="B17" s="93"/>
      <c r="C17" s="94"/>
      <c r="D17" s="100"/>
      <c r="E17" s="101"/>
      <c r="F17" s="93"/>
      <c r="G17" s="94"/>
      <c r="H17" s="93"/>
      <c r="I17" s="94"/>
      <c r="J17" s="65"/>
    </row>
    <row r="18" spans="1:13" ht="18.75" x14ac:dyDescent="0.3">
      <c r="A18" s="6" t="s">
        <v>10</v>
      </c>
      <c r="B18" s="115">
        <v>25279</v>
      </c>
      <c r="C18" s="116"/>
      <c r="D18" s="115">
        <v>29071</v>
      </c>
      <c r="E18" s="116"/>
      <c r="F18" s="115">
        <v>29071</v>
      </c>
      <c r="G18" s="116"/>
      <c r="H18" s="115">
        <v>29071</v>
      </c>
      <c r="I18" s="116"/>
      <c r="J18" s="65"/>
    </row>
    <row r="19" spans="1:13" ht="15.75" x14ac:dyDescent="0.25">
      <c r="A19" s="7"/>
      <c r="B19" s="8"/>
      <c r="C19" s="8"/>
      <c r="D19" s="102"/>
      <c r="E19" s="102"/>
    </row>
    <row r="20" spans="1:13" ht="24" customHeight="1" x14ac:dyDescent="0.25">
      <c r="A20" s="9" t="s">
        <v>47</v>
      </c>
      <c r="B20" s="9"/>
      <c r="C20" s="9" t="s">
        <v>11</v>
      </c>
      <c r="D20" s="9" t="s">
        <v>12</v>
      </c>
      <c r="E20" s="9"/>
      <c r="F20" s="9"/>
      <c r="G20" s="9" t="s">
        <v>11</v>
      </c>
      <c r="H20" s="9" t="s">
        <v>12</v>
      </c>
      <c r="I20" s="9"/>
      <c r="J20" s="9" t="s">
        <v>11</v>
      </c>
      <c r="K20" s="9" t="s">
        <v>12</v>
      </c>
      <c r="L20" s="105"/>
      <c r="M20" s="10"/>
    </row>
    <row r="21" spans="1:13" ht="24" customHeight="1" x14ac:dyDescent="0.25">
      <c r="A21" s="11" t="s">
        <v>13</v>
      </c>
      <c r="B21" s="63" t="s">
        <v>14</v>
      </c>
      <c r="C21" s="103" t="s">
        <v>58</v>
      </c>
      <c r="D21" s="104"/>
      <c r="E21" s="64" t="s">
        <v>71</v>
      </c>
      <c r="F21" s="63" t="s">
        <v>68</v>
      </c>
      <c r="G21" s="103" t="s">
        <v>18</v>
      </c>
      <c r="H21" s="104"/>
      <c r="I21" s="16" t="s">
        <v>19</v>
      </c>
      <c r="J21" s="103" t="s">
        <v>20</v>
      </c>
      <c r="K21" s="104"/>
      <c r="L21" s="64" t="s">
        <v>21</v>
      </c>
      <c r="M21" s="17" t="s">
        <v>22</v>
      </c>
    </row>
    <row r="22" spans="1:13" ht="24" customHeight="1" x14ac:dyDescent="0.25">
      <c r="A22" s="18" t="s">
        <v>23</v>
      </c>
      <c r="B22" s="19">
        <f t="shared" ref="B22:M22" si="0">B25+B42+B44</f>
        <v>8506262</v>
      </c>
      <c r="C22" s="19">
        <f t="shared" si="0"/>
        <v>2088629</v>
      </c>
      <c r="D22" s="19">
        <f t="shared" si="0"/>
        <v>115200</v>
      </c>
      <c r="E22" s="19">
        <f t="shared" si="0"/>
        <v>2203829</v>
      </c>
      <c r="F22" s="19">
        <f t="shared" si="0"/>
        <v>370000</v>
      </c>
      <c r="G22" s="19">
        <f t="shared" si="0"/>
        <v>10000</v>
      </c>
      <c r="H22" s="19">
        <f t="shared" si="0"/>
        <v>810000</v>
      </c>
      <c r="I22" s="19">
        <f t="shared" si="0"/>
        <v>820000</v>
      </c>
      <c r="J22" s="19">
        <f t="shared" si="0"/>
        <v>5130920</v>
      </c>
      <c r="K22" s="19">
        <f t="shared" si="0"/>
        <v>520403</v>
      </c>
      <c r="L22" s="19">
        <f t="shared" si="0"/>
        <v>5651323</v>
      </c>
      <c r="M22" s="19">
        <f t="shared" si="0"/>
        <v>17551414</v>
      </c>
    </row>
    <row r="23" spans="1:13" x14ac:dyDescent="0.25">
      <c r="A23" s="56"/>
      <c r="B23" s="57">
        <v>8503088</v>
      </c>
      <c r="C23" s="57"/>
      <c r="D23" s="57"/>
      <c r="E23" s="57">
        <v>2203829</v>
      </c>
      <c r="F23" s="57">
        <v>370000</v>
      </c>
      <c r="G23" s="57"/>
      <c r="H23" s="57"/>
      <c r="I23" s="57">
        <v>820000</v>
      </c>
      <c r="J23" s="57"/>
      <c r="K23" s="57"/>
      <c r="L23" s="57">
        <v>5651323</v>
      </c>
      <c r="M23" s="57">
        <f>B23+E23+F23+I23+L23</f>
        <v>17548240</v>
      </c>
    </row>
    <row r="24" spans="1:13" x14ac:dyDescent="0.25">
      <c r="A24" s="20"/>
      <c r="B24" s="69">
        <f>B22-B23</f>
        <v>3174</v>
      </c>
      <c r="C24" s="69"/>
      <c r="D24" s="69"/>
      <c r="E24" s="69">
        <f>E22-E23</f>
        <v>0</v>
      </c>
      <c r="F24" s="69">
        <f>F22-F23</f>
        <v>0</v>
      </c>
      <c r="G24" s="69"/>
      <c r="H24" s="69"/>
      <c r="I24" s="69">
        <f>I22-I23</f>
        <v>0</v>
      </c>
      <c r="J24" s="69"/>
      <c r="K24" s="69"/>
      <c r="L24" s="69">
        <f>L22-L23</f>
        <v>0</v>
      </c>
      <c r="M24" s="69">
        <f>M22-M23</f>
        <v>3174</v>
      </c>
    </row>
    <row r="25" spans="1:13" x14ac:dyDescent="0.25">
      <c r="A25" s="23" t="s">
        <v>24</v>
      </c>
      <c r="B25" s="24">
        <f t="shared" ref="B25:M25" si="1">SUM(B26:B41)</f>
        <v>1355660</v>
      </c>
      <c r="C25" s="24">
        <f t="shared" si="1"/>
        <v>1334830</v>
      </c>
      <c r="D25" s="24">
        <f t="shared" si="1"/>
        <v>93000</v>
      </c>
      <c r="E25" s="24">
        <f t="shared" si="1"/>
        <v>1427830</v>
      </c>
      <c r="F25" s="24">
        <f t="shared" si="1"/>
        <v>220000</v>
      </c>
      <c r="G25" s="24">
        <f t="shared" si="1"/>
        <v>0</v>
      </c>
      <c r="H25" s="24">
        <f t="shared" si="1"/>
        <v>730000</v>
      </c>
      <c r="I25" s="24">
        <f t="shared" si="1"/>
        <v>730000</v>
      </c>
      <c r="J25" s="24">
        <f t="shared" si="1"/>
        <v>4534948</v>
      </c>
      <c r="K25" s="24">
        <f t="shared" si="1"/>
        <v>520403</v>
      </c>
      <c r="L25" s="24">
        <f t="shared" si="1"/>
        <v>5055351</v>
      </c>
      <c r="M25" s="24">
        <f t="shared" si="1"/>
        <v>8788841</v>
      </c>
    </row>
    <row r="26" spans="1:13" x14ac:dyDescent="0.25">
      <c r="A26" s="25" t="s">
        <v>25</v>
      </c>
      <c r="B26" s="26">
        <v>178520</v>
      </c>
      <c r="C26" s="26">
        <v>55000</v>
      </c>
      <c r="D26" s="26"/>
      <c r="E26" s="27">
        <f t="shared" ref="E26:E41" si="2">SUM(C26:D26)</f>
        <v>55000</v>
      </c>
      <c r="F26" s="27"/>
      <c r="G26" s="27"/>
      <c r="H26" s="27">
        <v>160000</v>
      </c>
      <c r="I26" s="27">
        <f t="shared" ref="I26:I41" si="3">G26+H26</f>
        <v>160000</v>
      </c>
      <c r="J26" s="27">
        <v>0</v>
      </c>
      <c r="K26" s="27">
        <v>0</v>
      </c>
      <c r="L26" s="28">
        <f t="shared" ref="L26:L41" si="4">SUM(J26:K26)</f>
        <v>0</v>
      </c>
      <c r="M26" s="29">
        <f t="shared" ref="M26:M41" si="5">+B26+E26+F26+I26+L26</f>
        <v>393520</v>
      </c>
    </row>
    <row r="27" spans="1:13" x14ac:dyDescent="0.25">
      <c r="A27" s="25" t="s">
        <v>26</v>
      </c>
      <c r="B27" s="48">
        <v>217362</v>
      </c>
      <c r="C27" s="26">
        <v>147830</v>
      </c>
      <c r="D27" s="26">
        <v>28000</v>
      </c>
      <c r="E27" s="27">
        <f t="shared" si="2"/>
        <v>175830</v>
      </c>
      <c r="F27" s="27"/>
      <c r="G27" s="27"/>
      <c r="H27" s="27"/>
      <c r="I27" s="27">
        <f t="shared" si="3"/>
        <v>0</v>
      </c>
      <c r="J27" s="27">
        <v>23000</v>
      </c>
      <c r="K27" s="27">
        <v>5000</v>
      </c>
      <c r="L27" s="28">
        <f t="shared" si="4"/>
        <v>28000</v>
      </c>
      <c r="M27" s="29">
        <f t="shared" si="5"/>
        <v>421192</v>
      </c>
    </row>
    <row r="28" spans="1:13" x14ac:dyDescent="0.25">
      <c r="A28" s="25" t="s">
        <v>59</v>
      </c>
      <c r="B28" s="48">
        <v>5308</v>
      </c>
      <c r="C28" s="26">
        <v>2000</v>
      </c>
      <c r="D28" s="26"/>
      <c r="E28" s="27">
        <f t="shared" si="2"/>
        <v>2000</v>
      </c>
      <c r="F28" s="27"/>
      <c r="G28" s="27"/>
      <c r="H28" s="27"/>
      <c r="I28" s="27">
        <f t="shared" si="3"/>
        <v>0</v>
      </c>
      <c r="J28" s="27">
        <v>0</v>
      </c>
      <c r="K28" s="27">
        <v>0</v>
      </c>
      <c r="L28" s="28">
        <f t="shared" si="4"/>
        <v>0</v>
      </c>
      <c r="M28" s="29">
        <f t="shared" si="5"/>
        <v>7308</v>
      </c>
    </row>
    <row r="29" spans="1:13" x14ac:dyDescent="0.25">
      <c r="A29" s="25" t="s">
        <v>28</v>
      </c>
      <c r="B29" s="48">
        <v>71454</v>
      </c>
      <c r="C29" s="26">
        <v>15000</v>
      </c>
      <c r="D29" s="26"/>
      <c r="E29" s="27">
        <f t="shared" si="2"/>
        <v>15000</v>
      </c>
      <c r="F29" s="27"/>
      <c r="G29" s="27"/>
      <c r="H29" s="27"/>
      <c r="I29" s="27">
        <f t="shared" si="3"/>
        <v>0</v>
      </c>
      <c r="J29" s="27">
        <v>0</v>
      </c>
      <c r="K29" s="27">
        <v>0</v>
      </c>
      <c r="L29" s="28">
        <f t="shared" si="4"/>
        <v>0</v>
      </c>
      <c r="M29" s="29">
        <f t="shared" si="5"/>
        <v>86454</v>
      </c>
    </row>
    <row r="30" spans="1:13" x14ac:dyDescent="0.25">
      <c r="A30" s="25" t="s">
        <v>29</v>
      </c>
      <c r="B30" s="48">
        <v>107126</v>
      </c>
      <c r="C30" s="26">
        <v>17000</v>
      </c>
      <c r="D30" s="26"/>
      <c r="E30" s="27">
        <f t="shared" si="2"/>
        <v>17000</v>
      </c>
      <c r="F30" s="27"/>
      <c r="G30" s="27"/>
      <c r="H30" s="27"/>
      <c r="I30" s="27">
        <f t="shared" si="3"/>
        <v>0</v>
      </c>
      <c r="J30" s="27">
        <v>0</v>
      </c>
      <c r="K30" s="27">
        <v>0</v>
      </c>
      <c r="L30" s="28">
        <f t="shared" si="4"/>
        <v>0</v>
      </c>
      <c r="M30" s="29">
        <f t="shared" si="5"/>
        <v>124126</v>
      </c>
    </row>
    <row r="31" spans="1:13" x14ac:dyDescent="0.25">
      <c r="A31" s="30" t="s">
        <v>30</v>
      </c>
      <c r="B31" s="48">
        <v>100202</v>
      </c>
      <c r="C31" s="26">
        <v>220000</v>
      </c>
      <c r="D31" s="27">
        <v>30000</v>
      </c>
      <c r="E31" s="27">
        <f t="shared" si="2"/>
        <v>250000</v>
      </c>
      <c r="F31" s="27"/>
      <c r="G31" s="27"/>
      <c r="H31" s="27"/>
      <c r="I31" s="27">
        <f t="shared" si="3"/>
        <v>0</v>
      </c>
      <c r="J31" s="27">
        <v>142000</v>
      </c>
      <c r="K31" s="27">
        <v>47000</v>
      </c>
      <c r="L31" s="28">
        <f t="shared" si="4"/>
        <v>189000</v>
      </c>
      <c r="M31" s="29">
        <f t="shared" si="5"/>
        <v>539202</v>
      </c>
    </row>
    <row r="32" spans="1:13" x14ac:dyDescent="0.25">
      <c r="A32" s="25" t="s">
        <v>31</v>
      </c>
      <c r="B32" s="48">
        <v>27650</v>
      </c>
      <c r="C32" s="26">
        <v>460000</v>
      </c>
      <c r="D32" s="26">
        <v>35000</v>
      </c>
      <c r="E32" s="27">
        <f t="shared" si="2"/>
        <v>495000</v>
      </c>
      <c r="F32" s="27">
        <v>216000</v>
      </c>
      <c r="G32" s="27"/>
      <c r="H32" s="27"/>
      <c r="I32" s="27">
        <f t="shared" si="3"/>
        <v>0</v>
      </c>
      <c r="J32" s="27">
        <v>890000</v>
      </c>
      <c r="K32" s="27">
        <v>80000</v>
      </c>
      <c r="L32" s="28">
        <f t="shared" si="4"/>
        <v>970000</v>
      </c>
      <c r="M32" s="29">
        <f t="shared" si="5"/>
        <v>1708650</v>
      </c>
    </row>
    <row r="33" spans="1:13" x14ac:dyDescent="0.25">
      <c r="A33" s="25" t="s">
        <v>60</v>
      </c>
      <c r="B33" s="48">
        <v>149328</v>
      </c>
      <c r="C33" s="26">
        <v>15000</v>
      </c>
      <c r="D33" s="26"/>
      <c r="E33" s="27">
        <f t="shared" si="2"/>
        <v>15000</v>
      </c>
      <c r="F33" s="27"/>
      <c r="G33" s="27"/>
      <c r="H33" s="27"/>
      <c r="I33" s="27">
        <f t="shared" si="3"/>
        <v>0</v>
      </c>
      <c r="J33" s="27">
        <v>0</v>
      </c>
      <c r="K33" s="27"/>
      <c r="L33" s="28">
        <f t="shared" si="4"/>
        <v>0</v>
      </c>
      <c r="M33" s="29">
        <f t="shared" si="5"/>
        <v>164328</v>
      </c>
    </row>
    <row r="34" spans="1:13" x14ac:dyDescent="0.25">
      <c r="A34" s="25" t="s">
        <v>61</v>
      </c>
      <c r="B34" s="48">
        <v>58850</v>
      </c>
      <c r="C34" s="26">
        <v>15000</v>
      </c>
      <c r="D34" s="26"/>
      <c r="E34" s="27">
        <f t="shared" si="2"/>
        <v>15000</v>
      </c>
      <c r="F34" s="27"/>
      <c r="G34" s="27"/>
      <c r="H34" s="27"/>
      <c r="I34" s="27">
        <f t="shared" si="3"/>
        <v>0</v>
      </c>
      <c r="J34" s="27">
        <v>0</v>
      </c>
      <c r="K34" s="27">
        <v>20000</v>
      </c>
      <c r="L34" s="28">
        <f t="shared" si="4"/>
        <v>20000</v>
      </c>
      <c r="M34" s="29">
        <f t="shared" si="5"/>
        <v>93850</v>
      </c>
    </row>
    <row r="35" spans="1:13" x14ac:dyDescent="0.25">
      <c r="A35" s="25" t="s">
        <v>34</v>
      </c>
      <c r="B35" s="48">
        <v>65162</v>
      </c>
      <c r="C35" s="26">
        <v>60000</v>
      </c>
      <c r="D35" s="26"/>
      <c r="E35" s="27">
        <f t="shared" si="2"/>
        <v>60000</v>
      </c>
      <c r="F35" s="27"/>
      <c r="G35" s="27"/>
      <c r="H35" s="27">
        <v>440000</v>
      </c>
      <c r="I35" s="27">
        <f t="shared" si="3"/>
        <v>440000</v>
      </c>
      <c r="J35" s="27">
        <v>970000</v>
      </c>
      <c r="K35" s="27">
        <v>115000</v>
      </c>
      <c r="L35" s="28">
        <f t="shared" si="4"/>
        <v>1085000</v>
      </c>
      <c r="M35" s="29">
        <f t="shared" si="5"/>
        <v>1650162</v>
      </c>
    </row>
    <row r="36" spans="1:13" x14ac:dyDescent="0.25">
      <c r="A36" s="25" t="s">
        <v>62</v>
      </c>
      <c r="B36" s="48">
        <v>43928</v>
      </c>
      <c r="C36" s="26">
        <v>17000</v>
      </c>
      <c r="D36" s="26"/>
      <c r="E36" s="27">
        <f t="shared" si="2"/>
        <v>17000</v>
      </c>
      <c r="F36" s="27"/>
      <c r="G36" s="27"/>
      <c r="H36" s="27">
        <v>20000</v>
      </c>
      <c r="I36" s="27">
        <f t="shared" si="3"/>
        <v>20000</v>
      </c>
      <c r="J36" s="27">
        <v>78000</v>
      </c>
      <c r="K36" s="27">
        <v>80000</v>
      </c>
      <c r="L36" s="28">
        <f t="shared" si="4"/>
        <v>158000</v>
      </c>
      <c r="M36" s="29">
        <f t="shared" si="5"/>
        <v>238928</v>
      </c>
    </row>
    <row r="37" spans="1:13" x14ac:dyDescent="0.25">
      <c r="A37" s="25" t="s">
        <v>36</v>
      </c>
      <c r="B37" s="48">
        <v>64368</v>
      </c>
      <c r="C37" s="26">
        <v>16000</v>
      </c>
      <c r="D37" s="26"/>
      <c r="E37" s="27">
        <f t="shared" si="2"/>
        <v>16000</v>
      </c>
      <c r="F37" s="27"/>
      <c r="G37" s="27"/>
      <c r="H37" s="27"/>
      <c r="I37" s="27">
        <f t="shared" si="3"/>
        <v>0</v>
      </c>
      <c r="J37" s="27">
        <v>0</v>
      </c>
      <c r="K37" s="27">
        <v>0</v>
      </c>
      <c r="L37" s="28">
        <f t="shared" si="4"/>
        <v>0</v>
      </c>
      <c r="M37" s="29">
        <f t="shared" si="5"/>
        <v>80368</v>
      </c>
    </row>
    <row r="38" spans="1:13" x14ac:dyDescent="0.25">
      <c r="A38" s="25" t="s">
        <v>37</v>
      </c>
      <c r="B38" s="48">
        <v>43928</v>
      </c>
      <c r="C38" s="26">
        <v>180000</v>
      </c>
      <c r="D38" s="26"/>
      <c r="E38" s="27">
        <f t="shared" si="2"/>
        <v>180000</v>
      </c>
      <c r="F38" s="27"/>
      <c r="G38" s="27"/>
      <c r="H38" s="27"/>
      <c r="I38" s="27">
        <f t="shared" si="3"/>
        <v>0</v>
      </c>
      <c r="J38" s="27">
        <v>1390000</v>
      </c>
      <c r="K38" s="27">
        <v>10000</v>
      </c>
      <c r="L38" s="28">
        <f t="shared" si="4"/>
        <v>1400000</v>
      </c>
      <c r="M38" s="29">
        <f t="shared" si="5"/>
        <v>1623928</v>
      </c>
    </row>
    <row r="39" spans="1:13" x14ac:dyDescent="0.25">
      <c r="A39" s="25" t="s">
        <v>38</v>
      </c>
      <c r="B39" s="26">
        <v>101284</v>
      </c>
      <c r="C39" s="26">
        <v>10000</v>
      </c>
      <c r="D39" s="26"/>
      <c r="E39" s="27">
        <f t="shared" si="2"/>
        <v>10000</v>
      </c>
      <c r="F39" s="36">
        <v>4000</v>
      </c>
      <c r="G39" s="36"/>
      <c r="H39" s="27"/>
      <c r="I39" s="27">
        <f t="shared" si="3"/>
        <v>0</v>
      </c>
      <c r="J39" s="27"/>
      <c r="K39" s="27"/>
      <c r="L39" s="28">
        <f t="shared" si="4"/>
        <v>0</v>
      </c>
      <c r="M39" s="29">
        <f t="shared" si="5"/>
        <v>115284</v>
      </c>
    </row>
    <row r="40" spans="1:13" x14ac:dyDescent="0.25">
      <c r="A40" s="25" t="s">
        <v>39</v>
      </c>
      <c r="B40" s="26">
        <v>67370</v>
      </c>
      <c r="C40" s="26">
        <v>50000</v>
      </c>
      <c r="D40" s="26"/>
      <c r="E40" s="27">
        <f t="shared" si="2"/>
        <v>50000</v>
      </c>
      <c r="F40" s="27"/>
      <c r="G40" s="27"/>
      <c r="H40" s="27">
        <v>110000</v>
      </c>
      <c r="I40" s="27">
        <f t="shared" si="3"/>
        <v>110000</v>
      </c>
      <c r="J40" s="27">
        <v>371948</v>
      </c>
      <c r="K40" s="27">
        <v>143403</v>
      </c>
      <c r="L40" s="28">
        <f t="shared" si="4"/>
        <v>515351</v>
      </c>
      <c r="M40" s="29">
        <f t="shared" si="5"/>
        <v>742721</v>
      </c>
    </row>
    <row r="41" spans="1:13" x14ac:dyDescent="0.25">
      <c r="A41" s="25" t="s">
        <v>40</v>
      </c>
      <c r="B41" s="26">
        <v>53820</v>
      </c>
      <c r="C41" s="26">
        <v>55000</v>
      </c>
      <c r="D41" s="26"/>
      <c r="E41" s="27">
        <f t="shared" si="2"/>
        <v>55000</v>
      </c>
      <c r="F41" s="27"/>
      <c r="G41" s="27"/>
      <c r="H41" s="27"/>
      <c r="I41" s="27">
        <f t="shared" si="3"/>
        <v>0</v>
      </c>
      <c r="J41" s="27">
        <v>670000</v>
      </c>
      <c r="K41" s="27">
        <v>20000</v>
      </c>
      <c r="L41" s="28">
        <f t="shared" si="4"/>
        <v>690000</v>
      </c>
      <c r="M41" s="29">
        <f t="shared" si="5"/>
        <v>798820</v>
      </c>
    </row>
    <row r="42" spans="1:13" ht="21" customHeight="1" x14ac:dyDescent="0.25">
      <c r="A42" s="31" t="s">
        <v>63</v>
      </c>
      <c r="B42" s="32">
        <f t="shared" ref="B42:M42" si="6">SUM(B43)</f>
        <v>1502066</v>
      </c>
      <c r="C42" s="32">
        <f t="shared" si="6"/>
        <v>450484</v>
      </c>
      <c r="D42" s="32">
        <f t="shared" si="6"/>
        <v>0</v>
      </c>
      <c r="E42" s="32">
        <f t="shared" si="6"/>
        <v>450484</v>
      </c>
      <c r="F42" s="32">
        <f t="shared" si="6"/>
        <v>80000</v>
      </c>
      <c r="G42" s="32">
        <f t="shared" si="6"/>
        <v>10000</v>
      </c>
      <c r="H42" s="32">
        <f t="shared" si="6"/>
        <v>80000</v>
      </c>
      <c r="I42" s="32">
        <f t="shared" si="6"/>
        <v>90000</v>
      </c>
      <c r="J42" s="32">
        <f t="shared" si="6"/>
        <v>595972</v>
      </c>
      <c r="K42" s="32">
        <f t="shared" si="6"/>
        <v>0</v>
      </c>
      <c r="L42" s="32">
        <f t="shared" si="6"/>
        <v>595972</v>
      </c>
      <c r="M42" s="32">
        <f t="shared" si="6"/>
        <v>2718522</v>
      </c>
    </row>
    <row r="43" spans="1:13" x14ac:dyDescent="0.25">
      <c r="A43" s="30" t="s">
        <v>42</v>
      </c>
      <c r="B43" s="27">
        <v>1502066</v>
      </c>
      <c r="C43" s="26">
        <v>450484</v>
      </c>
      <c r="D43" s="27"/>
      <c r="E43" s="27">
        <f>SUM(C43:D43)</f>
        <v>450484</v>
      </c>
      <c r="F43" s="36">
        <v>80000</v>
      </c>
      <c r="G43" s="36">
        <v>10000</v>
      </c>
      <c r="H43" s="27">
        <v>80000</v>
      </c>
      <c r="I43" s="27">
        <f>H43+G43</f>
        <v>90000</v>
      </c>
      <c r="J43" s="47">
        <v>595972</v>
      </c>
      <c r="K43" s="27"/>
      <c r="L43" s="28">
        <f>SUM(J43:K43)</f>
        <v>595972</v>
      </c>
      <c r="M43" s="29">
        <f>B43+E43+F43+I43+L43</f>
        <v>2718522</v>
      </c>
    </row>
    <row r="44" spans="1:13" x14ac:dyDescent="0.25">
      <c r="A44" s="31" t="s">
        <v>64</v>
      </c>
      <c r="B44" s="32">
        <f t="shared" ref="B44:D44" si="7">SUM(B45:B47)</f>
        <v>5648536</v>
      </c>
      <c r="C44" s="32">
        <f t="shared" si="7"/>
        <v>303315</v>
      </c>
      <c r="D44" s="32">
        <f t="shared" si="7"/>
        <v>22200</v>
      </c>
      <c r="E44" s="32">
        <f>SUM(E45:E47)</f>
        <v>325515</v>
      </c>
      <c r="F44" s="32">
        <f t="shared" ref="F44:M44" si="8">SUM(F45:F47)</f>
        <v>70000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6044051</v>
      </c>
    </row>
    <row r="45" spans="1:13" x14ac:dyDescent="0.25">
      <c r="A45" s="25" t="s">
        <v>65</v>
      </c>
      <c r="B45" s="26">
        <v>167137</v>
      </c>
      <c r="C45" s="26">
        <v>53000</v>
      </c>
      <c r="D45" s="26">
        <v>22000</v>
      </c>
      <c r="E45" s="27">
        <f>SUM(C45:D45)</f>
        <v>75000</v>
      </c>
      <c r="F45" s="37">
        <v>8500</v>
      </c>
      <c r="G45" s="27"/>
      <c r="H45" s="27"/>
      <c r="I45" s="27"/>
      <c r="J45" s="27"/>
      <c r="K45" s="27"/>
      <c r="L45" s="28">
        <f>SUM(J45:K45)</f>
        <v>0</v>
      </c>
      <c r="M45" s="29">
        <f>B45+E45+F45+H45+L45</f>
        <v>250637</v>
      </c>
    </row>
    <row r="46" spans="1:13" x14ac:dyDescent="0.25">
      <c r="A46" s="25" t="s">
        <v>45</v>
      </c>
      <c r="B46" s="26">
        <v>4282293</v>
      </c>
      <c r="C46" s="26">
        <v>193237</v>
      </c>
      <c r="D46" s="26"/>
      <c r="E46" s="27">
        <f>SUM(C46:D46)</f>
        <v>193237</v>
      </c>
      <c r="F46" s="37">
        <v>46500</v>
      </c>
      <c r="G46" s="27"/>
      <c r="H46" s="27"/>
      <c r="I46" s="27"/>
      <c r="J46" s="48"/>
      <c r="K46" s="27"/>
      <c r="L46" s="28">
        <f>SUM(J46:K46)</f>
        <v>0</v>
      </c>
      <c r="M46" s="29">
        <f>B46+E46+F46+H46+L46</f>
        <v>4522030</v>
      </c>
    </row>
    <row r="47" spans="1:13" x14ac:dyDescent="0.25">
      <c r="A47" s="25" t="s">
        <v>66</v>
      </c>
      <c r="B47" s="26">
        <v>1199106</v>
      </c>
      <c r="C47" s="26">
        <v>57078</v>
      </c>
      <c r="D47" s="26">
        <v>200</v>
      </c>
      <c r="E47" s="27">
        <f>SUM(C47:D47)</f>
        <v>57278</v>
      </c>
      <c r="F47" s="37">
        <v>15000</v>
      </c>
      <c r="G47" s="27"/>
      <c r="H47" s="27"/>
      <c r="I47" s="27"/>
      <c r="J47" s="46">
        <v>0</v>
      </c>
      <c r="K47" s="27"/>
      <c r="L47" s="28">
        <f>SUM(J47:K47)</f>
        <v>0</v>
      </c>
      <c r="M47" s="29">
        <f>B47+E47+F47+H47+L47</f>
        <v>1271384</v>
      </c>
    </row>
    <row r="48" spans="1:13" x14ac:dyDescent="0.25">
      <c r="A48" s="117"/>
      <c r="B48" s="118"/>
      <c r="C48" s="118"/>
      <c r="D48" s="118"/>
      <c r="E48" s="119"/>
      <c r="F48" s="120"/>
      <c r="G48" s="119"/>
      <c r="H48" s="119"/>
      <c r="I48" s="119"/>
      <c r="J48" s="121"/>
      <c r="K48" s="119"/>
      <c r="L48" s="122"/>
      <c r="M48" s="123"/>
    </row>
    <row r="49" spans="1:13" x14ac:dyDescent="0.25">
      <c r="A49" s="117"/>
      <c r="B49" s="118"/>
      <c r="C49" s="118"/>
      <c r="D49" s="118"/>
      <c r="E49" s="119"/>
      <c r="F49" s="120"/>
      <c r="G49" s="119"/>
      <c r="H49" s="119"/>
      <c r="I49" s="119"/>
      <c r="J49" s="121"/>
      <c r="K49" s="119"/>
      <c r="L49" s="122"/>
      <c r="M49" s="123"/>
    </row>
    <row r="51" spans="1:13" ht="21" customHeight="1" x14ac:dyDescent="0.25">
      <c r="A51" s="9" t="s">
        <v>50</v>
      </c>
      <c r="B51" s="33"/>
      <c r="C51" s="9" t="s">
        <v>11</v>
      </c>
      <c r="D51" s="9" t="s">
        <v>12</v>
      </c>
      <c r="E51" s="33"/>
      <c r="F51" s="9"/>
      <c r="G51" s="9" t="s">
        <v>11</v>
      </c>
      <c r="H51" s="9" t="s">
        <v>12</v>
      </c>
      <c r="I51" s="9"/>
      <c r="J51" s="9" t="s">
        <v>11</v>
      </c>
      <c r="K51" s="9" t="s">
        <v>12</v>
      </c>
      <c r="L51" s="34"/>
      <c r="M51" s="34"/>
    </row>
    <row r="52" spans="1:13" ht="38.25" x14ac:dyDescent="0.25">
      <c r="A52" s="11" t="s">
        <v>13</v>
      </c>
      <c r="B52" s="74" t="s">
        <v>14</v>
      </c>
      <c r="C52" s="96" t="s">
        <v>58</v>
      </c>
      <c r="D52" s="96"/>
      <c r="E52" s="64" t="s">
        <v>67</v>
      </c>
      <c r="F52" s="64" t="s">
        <v>68</v>
      </c>
      <c r="G52" s="97" t="s">
        <v>69</v>
      </c>
      <c r="H52" s="98"/>
      <c r="I52" s="16" t="s">
        <v>19</v>
      </c>
      <c r="J52" s="99" t="s">
        <v>20</v>
      </c>
      <c r="K52" s="99"/>
      <c r="L52" s="64" t="s">
        <v>70</v>
      </c>
      <c r="M52" s="63" t="s">
        <v>22</v>
      </c>
    </row>
    <row r="53" spans="1:13" ht="21" customHeight="1" x14ac:dyDescent="0.25">
      <c r="A53" s="18" t="s">
        <v>23</v>
      </c>
      <c r="B53" s="51">
        <f t="shared" ref="B53:L53" si="9">B56+B73+B75</f>
        <v>10407314</v>
      </c>
      <c r="C53" s="51">
        <f t="shared" si="9"/>
        <v>2369340</v>
      </c>
      <c r="D53" s="51">
        <f t="shared" si="9"/>
        <v>97000</v>
      </c>
      <c r="E53" s="52">
        <f t="shared" si="9"/>
        <v>2466340</v>
      </c>
      <c r="F53" s="51">
        <f t="shared" si="9"/>
        <v>390000</v>
      </c>
      <c r="G53" s="51">
        <f t="shared" si="9"/>
        <v>10000</v>
      </c>
      <c r="H53" s="51">
        <f>H56+H73+H75</f>
        <v>880000</v>
      </c>
      <c r="I53" s="51">
        <f>I56+I73+I75</f>
        <v>890000</v>
      </c>
      <c r="J53" s="51">
        <f>J56+J73+J75</f>
        <v>5013228</v>
      </c>
      <c r="K53" s="51">
        <f t="shared" si="9"/>
        <v>637904</v>
      </c>
      <c r="L53" s="51">
        <f t="shared" si="9"/>
        <v>5651132</v>
      </c>
      <c r="M53" s="51">
        <f>B53+E53+F53+I53+L53</f>
        <v>19804786</v>
      </c>
    </row>
    <row r="54" spans="1:13" s="59" customFormat="1" x14ac:dyDescent="0.25">
      <c r="A54" s="56"/>
      <c r="B54" s="57">
        <v>10407314</v>
      </c>
      <c r="C54" s="57">
        <v>2369340</v>
      </c>
      <c r="D54" s="57">
        <v>97000</v>
      </c>
      <c r="E54" s="57">
        <f>C54+D54</f>
        <v>2466340</v>
      </c>
      <c r="F54" s="57">
        <v>390000</v>
      </c>
      <c r="G54" s="57">
        <v>10000</v>
      </c>
      <c r="H54" s="57">
        <v>880000</v>
      </c>
      <c r="I54" s="57">
        <v>890000</v>
      </c>
      <c r="J54" s="57">
        <v>5013228</v>
      </c>
      <c r="K54" s="57">
        <v>637904</v>
      </c>
      <c r="L54" s="57">
        <f>J54+K54</f>
        <v>5651132</v>
      </c>
      <c r="M54" s="57">
        <f>B54+E54+F54+I54+L54</f>
        <v>19804786</v>
      </c>
    </row>
    <row r="55" spans="1:13" x14ac:dyDescent="0.25">
      <c r="A55" s="20"/>
      <c r="B55" s="80">
        <f>B53-B54</f>
        <v>0</v>
      </c>
      <c r="C55" s="81">
        <f t="shared" ref="C55:D55" si="10">C53-C54</f>
        <v>0</v>
      </c>
      <c r="D55" s="81">
        <f t="shared" si="10"/>
        <v>0</v>
      </c>
      <c r="E55" s="81">
        <f>E53-E54</f>
        <v>0</v>
      </c>
      <c r="F55" s="81">
        <f>F53-F54</f>
        <v>0</v>
      </c>
      <c r="G55" s="81">
        <f t="shared" ref="G55:M55" si="11">G53-G54</f>
        <v>0</v>
      </c>
      <c r="H55" s="81">
        <f t="shared" si="11"/>
        <v>0</v>
      </c>
      <c r="I55" s="81">
        <f t="shared" si="11"/>
        <v>0</v>
      </c>
      <c r="J55" s="81">
        <f t="shared" si="11"/>
        <v>0</v>
      </c>
      <c r="K55" s="81">
        <f t="shared" si="11"/>
        <v>0</v>
      </c>
      <c r="L55" s="81">
        <f t="shared" si="11"/>
        <v>0</v>
      </c>
      <c r="M55" s="81">
        <f t="shared" si="11"/>
        <v>0</v>
      </c>
    </row>
    <row r="56" spans="1:13" x14ac:dyDescent="0.25">
      <c r="A56" s="23" t="s">
        <v>24</v>
      </c>
      <c r="B56" s="24">
        <f t="shared" ref="B56:M56" si="12">SUM(B57:B72)</f>
        <v>1861446</v>
      </c>
      <c r="C56" s="24">
        <f t="shared" si="12"/>
        <v>1621902</v>
      </c>
      <c r="D56" s="24">
        <f t="shared" si="12"/>
        <v>63000</v>
      </c>
      <c r="E56" s="24">
        <f t="shared" si="12"/>
        <v>1684902</v>
      </c>
      <c r="F56" s="24">
        <f t="shared" si="12"/>
        <v>240000</v>
      </c>
      <c r="G56" s="24">
        <f t="shared" si="12"/>
        <v>0</v>
      </c>
      <c r="H56" s="24">
        <f t="shared" si="12"/>
        <v>800000</v>
      </c>
      <c r="I56" s="24">
        <f t="shared" si="12"/>
        <v>800000</v>
      </c>
      <c r="J56" s="24">
        <f t="shared" si="12"/>
        <v>4747024</v>
      </c>
      <c r="K56" s="24">
        <f t="shared" si="12"/>
        <v>637904</v>
      </c>
      <c r="L56" s="24">
        <f t="shared" si="12"/>
        <v>5384928</v>
      </c>
      <c r="M56" s="24">
        <f t="shared" si="12"/>
        <v>9971276</v>
      </c>
    </row>
    <row r="57" spans="1:13" x14ac:dyDescent="0.25">
      <c r="A57" s="35" t="s">
        <v>25</v>
      </c>
      <c r="B57" s="73">
        <v>182352</v>
      </c>
      <c r="C57" s="26">
        <v>55000</v>
      </c>
      <c r="D57" s="26"/>
      <c r="E57" s="48">
        <f t="shared" ref="E57:E72" si="13">SUM(C57:D57)</f>
        <v>55000</v>
      </c>
      <c r="F57" s="27"/>
      <c r="G57" s="27"/>
      <c r="H57" s="27">
        <f>160000+70000-50000</f>
        <v>180000</v>
      </c>
      <c r="I57" s="27">
        <f t="shared" ref="I57:I72" si="14">G57+H57</f>
        <v>180000</v>
      </c>
      <c r="J57" s="46">
        <v>0</v>
      </c>
      <c r="K57" s="46">
        <v>0</v>
      </c>
      <c r="L57" s="66">
        <f t="shared" ref="L57:L72" si="15">SUM(J57:K57)</f>
        <v>0</v>
      </c>
      <c r="M57" s="21">
        <f t="shared" ref="M57:M72" si="16">B57+E57+F57+I57+L57</f>
        <v>417352</v>
      </c>
    </row>
    <row r="58" spans="1:13" x14ac:dyDescent="0.25">
      <c r="A58" s="35" t="s">
        <v>26</v>
      </c>
      <c r="B58" s="75">
        <f>249365-2000</f>
        <v>247365</v>
      </c>
      <c r="C58" s="26">
        <v>120000</v>
      </c>
      <c r="D58" s="26">
        <v>28000</v>
      </c>
      <c r="E58" s="48">
        <f t="shared" si="13"/>
        <v>148000</v>
      </c>
      <c r="F58" s="27"/>
      <c r="G58" s="27"/>
      <c r="H58" s="27"/>
      <c r="I58" s="27">
        <f t="shared" si="14"/>
        <v>0</v>
      </c>
      <c r="J58" s="46">
        <v>0</v>
      </c>
      <c r="K58" s="46">
        <v>45000</v>
      </c>
      <c r="L58" s="66">
        <f t="shared" si="15"/>
        <v>45000</v>
      </c>
      <c r="M58" s="21">
        <f t="shared" si="16"/>
        <v>440365</v>
      </c>
    </row>
    <row r="59" spans="1:13" x14ac:dyDescent="0.25">
      <c r="A59" s="35" t="s">
        <v>59</v>
      </c>
      <c r="B59" s="73">
        <v>6631</v>
      </c>
      <c r="C59" s="26">
        <v>2000</v>
      </c>
      <c r="D59" s="26"/>
      <c r="E59" s="48">
        <f t="shared" si="13"/>
        <v>2000</v>
      </c>
      <c r="F59" s="27"/>
      <c r="G59" s="27"/>
      <c r="H59" s="27"/>
      <c r="I59" s="27">
        <f t="shared" si="14"/>
        <v>0</v>
      </c>
      <c r="J59" s="46">
        <v>0</v>
      </c>
      <c r="K59" s="46">
        <v>0</v>
      </c>
      <c r="L59" s="66">
        <f t="shared" si="15"/>
        <v>0</v>
      </c>
      <c r="M59" s="21">
        <f t="shared" si="16"/>
        <v>8631</v>
      </c>
    </row>
    <row r="60" spans="1:13" x14ac:dyDescent="0.25">
      <c r="A60" s="35" t="s">
        <v>28</v>
      </c>
      <c r="B60" s="73">
        <v>111473</v>
      </c>
      <c r="C60" s="83">
        <f>60000+10000</f>
        <v>70000</v>
      </c>
      <c r="D60" s="26"/>
      <c r="E60" s="48">
        <f t="shared" si="13"/>
        <v>70000</v>
      </c>
      <c r="F60" s="27"/>
      <c r="G60" s="27"/>
      <c r="H60" s="27"/>
      <c r="I60" s="27">
        <f t="shared" si="14"/>
        <v>0</v>
      </c>
      <c r="J60" s="46">
        <v>0</v>
      </c>
      <c r="K60" s="46">
        <v>0</v>
      </c>
      <c r="L60" s="66">
        <f t="shared" si="15"/>
        <v>0</v>
      </c>
      <c r="M60" s="21">
        <f t="shared" si="16"/>
        <v>181473</v>
      </c>
    </row>
    <row r="61" spans="1:13" x14ac:dyDescent="0.25">
      <c r="A61" s="35" t="s">
        <v>29</v>
      </c>
      <c r="B61" s="75">
        <f>309331-3000</f>
        <v>306331</v>
      </c>
      <c r="C61" s="84">
        <v>17000</v>
      </c>
      <c r="D61" s="26"/>
      <c r="E61" s="48">
        <f t="shared" si="13"/>
        <v>17000</v>
      </c>
      <c r="F61" s="27"/>
      <c r="G61" s="27"/>
      <c r="H61" s="27"/>
      <c r="I61" s="27">
        <f t="shared" si="14"/>
        <v>0</v>
      </c>
      <c r="J61" s="46">
        <v>0</v>
      </c>
      <c r="K61" s="46">
        <v>0</v>
      </c>
      <c r="L61" s="66">
        <f t="shared" si="15"/>
        <v>0</v>
      </c>
      <c r="M61" s="21">
        <f t="shared" si="16"/>
        <v>323331</v>
      </c>
    </row>
    <row r="62" spans="1:13" x14ac:dyDescent="0.25">
      <c r="A62" s="35" t="s">
        <v>30</v>
      </c>
      <c r="B62" s="75">
        <f>112927+13098</f>
        <v>126025</v>
      </c>
      <c r="C62" s="83">
        <f>200000-13098</f>
        <v>186902</v>
      </c>
      <c r="D62" s="27"/>
      <c r="E62" s="48">
        <f t="shared" si="13"/>
        <v>186902</v>
      </c>
      <c r="F62" s="27"/>
      <c r="G62" s="27"/>
      <c r="H62" s="27"/>
      <c r="I62" s="27">
        <f t="shared" si="14"/>
        <v>0</v>
      </c>
      <c r="J62" s="46">
        <v>100024</v>
      </c>
      <c r="K62" s="46">
        <v>70000</v>
      </c>
      <c r="L62" s="66">
        <f t="shared" si="15"/>
        <v>170024</v>
      </c>
      <c r="M62" s="21">
        <f t="shared" si="16"/>
        <v>482951</v>
      </c>
    </row>
    <row r="63" spans="1:13" x14ac:dyDescent="0.25">
      <c r="A63" s="35" t="s">
        <v>31</v>
      </c>
      <c r="B63" s="75">
        <v>31896</v>
      </c>
      <c r="C63" s="83">
        <f>390000+70000+110000-10000-50000</f>
        <v>510000</v>
      </c>
      <c r="D63" s="26">
        <v>35000</v>
      </c>
      <c r="E63" s="48">
        <f t="shared" si="13"/>
        <v>545000</v>
      </c>
      <c r="F63" s="27">
        <v>236000</v>
      </c>
      <c r="G63" s="27"/>
      <c r="H63" s="27">
        <v>50000</v>
      </c>
      <c r="I63" s="27">
        <f t="shared" si="14"/>
        <v>50000</v>
      </c>
      <c r="J63" s="46">
        <v>990000</v>
      </c>
      <c r="K63" s="46">
        <v>130000</v>
      </c>
      <c r="L63" s="66">
        <f t="shared" si="15"/>
        <v>1120000</v>
      </c>
      <c r="M63" s="21">
        <f t="shared" si="16"/>
        <v>1982896</v>
      </c>
    </row>
    <row r="64" spans="1:13" x14ac:dyDescent="0.25">
      <c r="A64" s="35" t="s">
        <v>60</v>
      </c>
      <c r="B64" s="75">
        <f>207956-2000</f>
        <v>205956</v>
      </c>
      <c r="C64" s="84">
        <v>15000</v>
      </c>
      <c r="D64" s="26"/>
      <c r="E64" s="48">
        <f t="shared" si="13"/>
        <v>15000</v>
      </c>
      <c r="F64" s="27"/>
      <c r="G64" s="27"/>
      <c r="H64" s="27"/>
      <c r="I64" s="27">
        <f t="shared" si="14"/>
        <v>0</v>
      </c>
      <c r="J64" s="46">
        <v>0</v>
      </c>
      <c r="K64" s="46"/>
      <c r="L64" s="66">
        <f t="shared" si="15"/>
        <v>0</v>
      </c>
      <c r="M64" s="21">
        <f t="shared" si="16"/>
        <v>220956</v>
      </c>
    </row>
    <row r="65" spans="1:13" x14ac:dyDescent="0.25">
      <c r="A65" s="35" t="s">
        <v>61</v>
      </c>
      <c r="B65" s="75">
        <v>105918</v>
      </c>
      <c r="C65" s="84">
        <v>15000</v>
      </c>
      <c r="D65" s="26"/>
      <c r="E65" s="48">
        <f t="shared" si="13"/>
        <v>15000</v>
      </c>
      <c r="F65" s="27"/>
      <c r="G65" s="27"/>
      <c r="H65" s="27"/>
      <c r="I65" s="27">
        <f t="shared" si="14"/>
        <v>0</v>
      </c>
      <c r="J65" s="46"/>
      <c r="K65" s="46">
        <v>25000</v>
      </c>
      <c r="L65" s="66">
        <f t="shared" si="15"/>
        <v>25000</v>
      </c>
      <c r="M65" s="21">
        <f t="shared" si="16"/>
        <v>145918</v>
      </c>
    </row>
    <row r="66" spans="1:13" x14ac:dyDescent="0.25">
      <c r="A66" s="35" t="s">
        <v>34</v>
      </c>
      <c r="B66" s="75">
        <v>77289</v>
      </c>
      <c r="C66" s="84">
        <v>90000</v>
      </c>
      <c r="D66" s="26"/>
      <c r="E66" s="48">
        <f t="shared" si="13"/>
        <v>90000</v>
      </c>
      <c r="F66" s="27"/>
      <c r="G66" s="27"/>
      <c r="H66" s="27">
        <v>440000</v>
      </c>
      <c r="I66" s="27">
        <f t="shared" si="14"/>
        <v>440000</v>
      </c>
      <c r="J66" s="46">
        <v>930000</v>
      </c>
      <c r="K66" s="46">
        <v>215000</v>
      </c>
      <c r="L66" s="66">
        <f t="shared" si="15"/>
        <v>1145000</v>
      </c>
      <c r="M66" s="21">
        <f t="shared" si="16"/>
        <v>1752289</v>
      </c>
    </row>
    <row r="67" spans="1:13" x14ac:dyDescent="0.25">
      <c r="A67" s="35" t="s">
        <v>62</v>
      </c>
      <c r="B67" s="75">
        <v>53201</v>
      </c>
      <c r="C67" s="83">
        <f>17000+3000+50000</f>
        <v>70000</v>
      </c>
      <c r="D67" s="26"/>
      <c r="E67" s="48">
        <f t="shared" si="13"/>
        <v>70000</v>
      </c>
      <c r="F67" s="27"/>
      <c r="G67" s="27"/>
      <c r="H67" s="27">
        <v>20000</v>
      </c>
      <c r="I67" s="27">
        <f t="shared" si="14"/>
        <v>20000</v>
      </c>
      <c r="J67" s="46">
        <v>50000</v>
      </c>
      <c r="K67" s="46">
        <v>15000</v>
      </c>
      <c r="L67" s="66">
        <f t="shared" si="15"/>
        <v>65000</v>
      </c>
      <c r="M67" s="21">
        <f t="shared" si="16"/>
        <v>208201</v>
      </c>
    </row>
    <row r="68" spans="1:13" x14ac:dyDescent="0.25">
      <c r="A68" s="35" t="s">
        <v>36</v>
      </c>
      <c r="B68" s="75">
        <v>84086</v>
      </c>
      <c r="C68" s="26">
        <v>16000</v>
      </c>
      <c r="D68" s="26"/>
      <c r="E68" s="48">
        <f t="shared" si="13"/>
        <v>16000</v>
      </c>
      <c r="F68" s="27"/>
      <c r="G68" s="27"/>
      <c r="H68" s="27"/>
      <c r="I68" s="27">
        <f t="shared" si="14"/>
        <v>0</v>
      </c>
      <c r="J68" s="46">
        <v>0</v>
      </c>
      <c r="K68" s="46">
        <v>0</v>
      </c>
      <c r="L68" s="66">
        <f t="shared" si="15"/>
        <v>0</v>
      </c>
      <c r="M68" s="21">
        <f t="shared" si="16"/>
        <v>100086</v>
      </c>
    </row>
    <row r="69" spans="1:13" x14ac:dyDescent="0.25">
      <c r="A69" s="35" t="s">
        <v>37</v>
      </c>
      <c r="B69" s="75">
        <f>53336+7000</f>
        <v>60336</v>
      </c>
      <c r="C69" s="26">
        <f>180000+140000</f>
        <v>320000</v>
      </c>
      <c r="D69" s="26"/>
      <c r="E69" s="48">
        <f t="shared" si="13"/>
        <v>320000</v>
      </c>
      <c r="F69" s="27"/>
      <c r="G69" s="27"/>
      <c r="H69" s="27"/>
      <c r="I69" s="27">
        <f t="shared" si="14"/>
        <v>0</v>
      </c>
      <c r="J69" s="46">
        <v>1610000</v>
      </c>
      <c r="K69" s="46">
        <v>31120</v>
      </c>
      <c r="L69" s="66">
        <f t="shared" si="15"/>
        <v>1641120</v>
      </c>
      <c r="M69" s="21">
        <f t="shared" si="16"/>
        <v>2021456</v>
      </c>
    </row>
    <row r="70" spans="1:13" x14ac:dyDescent="0.25">
      <c r="A70" s="35" t="s">
        <v>38</v>
      </c>
      <c r="B70" s="73">
        <v>107378</v>
      </c>
      <c r="C70" s="26">
        <v>10000</v>
      </c>
      <c r="D70" s="26"/>
      <c r="E70" s="48">
        <f t="shared" si="13"/>
        <v>10000</v>
      </c>
      <c r="F70" s="36">
        <v>4000</v>
      </c>
      <c r="G70" s="36"/>
      <c r="H70" s="27"/>
      <c r="I70" s="27">
        <f t="shared" si="14"/>
        <v>0</v>
      </c>
      <c r="J70" s="46"/>
      <c r="K70" s="46"/>
      <c r="L70" s="66">
        <f t="shared" si="15"/>
        <v>0</v>
      </c>
      <c r="M70" s="21">
        <f t="shared" si="16"/>
        <v>121378</v>
      </c>
    </row>
    <row r="71" spans="1:13" x14ac:dyDescent="0.25">
      <c r="A71" s="35" t="s">
        <v>39</v>
      </c>
      <c r="B71" s="73">
        <v>94149</v>
      </c>
      <c r="C71" s="26">
        <f>50000+20000</f>
        <v>70000</v>
      </c>
      <c r="D71" s="26"/>
      <c r="E71" s="27">
        <f t="shared" si="13"/>
        <v>70000</v>
      </c>
      <c r="F71" s="27"/>
      <c r="G71" s="27"/>
      <c r="H71" s="27">
        <v>110000</v>
      </c>
      <c r="I71" s="27">
        <f t="shared" si="14"/>
        <v>110000</v>
      </c>
      <c r="J71" s="46">
        <v>467000</v>
      </c>
      <c r="K71" s="46">
        <v>70000</v>
      </c>
      <c r="L71" s="66">
        <f t="shared" si="15"/>
        <v>537000</v>
      </c>
      <c r="M71" s="21">
        <f t="shared" si="16"/>
        <v>811149</v>
      </c>
    </row>
    <row r="72" spans="1:13" x14ac:dyDescent="0.25">
      <c r="A72" s="25" t="s">
        <v>40</v>
      </c>
      <c r="B72" s="73">
        <v>61060</v>
      </c>
      <c r="C72" s="26">
        <v>55000</v>
      </c>
      <c r="D72" s="26"/>
      <c r="E72" s="27">
        <f t="shared" si="13"/>
        <v>55000</v>
      </c>
      <c r="F72" s="27"/>
      <c r="G72" s="27"/>
      <c r="H72" s="27"/>
      <c r="I72" s="27">
        <f t="shared" si="14"/>
        <v>0</v>
      </c>
      <c r="J72" s="46">
        <v>600000</v>
      </c>
      <c r="K72" s="46">
        <v>36784</v>
      </c>
      <c r="L72" s="66">
        <f t="shared" si="15"/>
        <v>636784</v>
      </c>
      <c r="M72" s="21">
        <f t="shared" si="16"/>
        <v>752844</v>
      </c>
    </row>
    <row r="73" spans="1:13" x14ac:dyDescent="0.25">
      <c r="A73" s="31" t="s">
        <v>63</v>
      </c>
      <c r="B73" s="32">
        <f t="shared" ref="B73:M73" si="17">SUM(B74)</f>
        <v>1816902</v>
      </c>
      <c r="C73" s="32">
        <f t="shared" si="17"/>
        <v>363098</v>
      </c>
      <c r="D73" s="32">
        <f t="shared" si="17"/>
        <v>0</v>
      </c>
      <c r="E73" s="32">
        <f t="shared" si="17"/>
        <v>363098</v>
      </c>
      <c r="F73" s="32">
        <f t="shared" si="17"/>
        <v>80000</v>
      </c>
      <c r="G73" s="32">
        <f t="shared" si="17"/>
        <v>10000</v>
      </c>
      <c r="H73" s="32">
        <f t="shared" si="17"/>
        <v>80000</v>
      </c>
      <c r="I73" s="32">
        <f t="shared" si="17"/>
        <v>90000</v>
      </c>
      <c r="J73" s="67">
        <f t="shared" si="17"/>
        <v>266204</v>
      </c>
      <c r="K73" s="67">
        <f t="shared" si="17"/>
        <v>0</v>
      </c>
      <c r="L73" s="67">
        <f t="shared" si="17"/>
        <v>266204</v>
      </c>
      <c r="M73" s="32">
        <f t="shared" si="17"/>
        <v>2616204</v>
      </c>
    </row>
    <row r="74" spans="1:13" x14ac:dyDescent="0.25">
      <c r="A74" s="30" t="s">
        <v>42</v>
      </c>
      <c r="B74" s="75">
        <f>1830000-13098</f>
        <v>1816902</v>
      </c>
      <c r="C74" s="83">
        <f>350000+13098</f>
        <v>363098</v>
      </c>
      <c r="D74" s="27"/>
      <c r="E74" s="27">
        <f>SUM(C74:D74)</f>
        <v>363098</v>
      </c>
      <c r="F74" s="36">
        <v>80000</v>
      </c>
      <c r="G74" s="36">
        <v>10000</v>
      </c>
      <c r="H74" s="27">
        <v>80000</v>
      </c>
      <c r="I74" s="27">
        <f>H74+G74</f>
        <v>90000</v>
      </c>
      <c r="J74" s="68">
        <v>266204</v>
      </c>
      <c r="K74" s="46"/>
      <c r="L74" s="66">
        <f>SUM(J74:K74)</f>
        <v>266204</v>
      </c>
      <c r="M74" s="21">
        <f>B74+E74+F74+I74+L74</f>
        <v>2616204</v>
      </c>
    </row>
    <row r="75" spans="1:13" x14ac:dyDescent="0.25">
      <c r="A75" s="31" t="s">
        <v>64</v>
      </c>
      <c r="B75" s="32">
        <f t="shared" ref="B75:M75" si="18">SUM(B76:B78)</f>
        <v>6728966</v>
      </c>
      <c r="C75" s="32">
        <f t="shared" si="18"/>
        <v>384340</v>
      </c>
      <c r="D75" s="32">
        <f t="shared" si="18"/>
        <v>34000</v>
      </c>
      <c r="E75" s="32">
        <f>SUM(E76:E78)</f>
        <v>418340</v>
      </c>
      <c r="F75" s="32">
        <f t="shared" si="18"/>
        <v>70000</v>
      </c>
      <c r="G75" s="32">
        <f t="shared" si="18"/>
        <v>0</v>
      </c>
      <c r="H75" s="32">
        <f t="shared" si="18"/>
        <v>0</v>
      </c>
      <c r="I75" s="32">
        <f t="shared" si="18"/>
        <v>0</v>
      </c>
      <c r="J75" s="32">
        <f t="shared" si="18"/>
        <v>0</v>
      </c>
      <c r="K75" s="32">
        <f t="shared" si="18"/>
        <v>0</v>
      </c>
      <c r="L75" s="32">
        <f t="shared" si="18"/>
        <v>0</v>
      </c>
      <c r="M75" s="32">
        <f t="shared" si="18"/>
        <v>7217306</v>
      </c>
    </row>
    <row r="76" spans="1:13" x14ac:dyDescent="0.25">
      <c r="A76" s="25" t="s">
        <v>65</v>
      </c>
      <c r="B76" s="73">
        <v>220667</v>
      </c>
      <c r="C76" s="26">
        <v>53000</v>
      </c>
      <c r="D76" s="26">
        <v>34000</v>
      </c>
      <c r="E76" s="27">
        <f>SUM(C76:D76)</f>
        <v>87000</v>
      </c>
      <c r="F76" s="37">
        <v>8500</v>
      </c>
      <c r="G76" s="27"/>
      <c r="H76" s="27"/>
      <c r="I76" s="27"/>
      <c r="J76" s="27"/>
      <c r="K76" s="27"/>
      <c r="L76" s="28">
        <f>SUM(J76:K76)</f>
        <v>0</v>
      </c>
      <c r="M76" s="21">
        <f>B76+E76+F76+I76+L76</f>
        <v>316167</v>
      </c>
    </row>
    <row r="77" spans="1:13" x14ac:dyDescent="0.25">
      <c r="A77" s="25" t="s">
        <v>45</v>
      </c>
      <c r="B77" s="75">
        <f>5119432+126630+17125</f>
        <v>5263187</v>
      </c>
      <c r="C77" s="26">
        <f>193237+40000</f>
        <v>233237</v>
      </c>
      <c r="D77" s="26"/>
      <c r="E77" s="27">
        <f>SUM(C77:D77)</f>
        <v>233237</v>
      </c>
      <c r="F77" s="37">
        <v>46500</v>
      </c>
      <c r="G77" s="27"/>
      <c r="H77" s="27"/>
      <c r="I77" s="27"/>
      <c r="J77" s="48"/>
      <c r="K77" s="27"/>
      <c r="L77" s="28">
        <f>SUM(J77:K77)</f>
        <v>0</v>
      </c>
      <c r="M77" s="21">
        <f>B77+E77+F77+I77+L77</f>
        <v>5542924</v>
      </c>
    </row>
    <row r="78" spans="1:13" x14ac:dyDescent="0.25">
      <c r="A78" s="25" t="s">
        <v>66</v>
      </c>
      <c r="B78" s="73">
        <v>1245112</v>
      </c>
      <c r="C78" s="26">
        <f>57078+41025</f>
        <v>98103</v>
      </c>
      <c r="D78" s="26"/>
      <c r="E78" s="27">
        <f>SUM(C78:D78)</f>
        <v>98103</v>
      </c>
      <c r="F78" s="37">
        <v>15000</v>
      </c>
      <c r="G78" s="27"/>
      <c r="H78" s="27"/>
      <c r="I78" s="27"/>
      <c r="J78" s="46">
        <v>0</v>
      </c>
      <c r="K78" s="27"/>
      <c r="L78" s="28">
        <f>SUM(J78:K78)</f>
        <v>0</v>
      </c>
      <c r="M78" s="21">
        <f>B78+E78+F78+I78+L78</f>
        <v>1358215</v>
      </c>
    </row>
    <row r="79" spans="1:13" x14ac:dyDescent="0.25">
      <c r="A79" s="39"/>
      <c r="B79" s="76"/>
      <c r="C79" s="41"/>
      <c r="D79" s="41"/>
      <c r="E79" s="41"/>
      <c r="F79" s="42"/>
      <c r="G79" s="42"/>
      <c r="H79" s="42"/>
      <c r="I79" s="42"/>
      <c r="J79" s="42"/>
      <c r="K79" s="42"/>
      <c r="L79" s="42"/>
      <c r="M79" s="42"/>
    </row>
    <row r="80" spans="1:13" ht="18.75" x14ac:dyDescent="0.25">
      <c r="A80" s="9" t="s">
        <v>51</v>
      </c>
      <c r="B80" s="33"/>
      <c r="C80" s="9" t="s">
        <v>11</v>
      </c>
      <c r="D80" s="9" t="s">
        <v>12</v>
      </c>
      <c r="E80" s="33"/>
      <c r="F80" s="9"/>
      <c r="G80" s="9" t="s">
        <v>11</v>
      </c>
      <c r="H80" s="9" t="s">
        <v>12</v>
      </c>
      <c r="I80" s="9"/>
      <c r="J80" s="9" t="s">
        <v>11</v>
      </c>
      <c r="K80" s="9" t="s">
        <v>12</v>
      </c>
      <c r="L80" s="34"/>
      <c r="M80" s="34"/>
    </row>
    <row r="81" spans="1:13" ht="38.25" x14ac:dyDescent="0.25">
      <c r="A81" s="11" t="s">
        <v>13</v>
      </c>
      <c r="B81" s="74" t="s">
        <v>14</v>
      </c>
      <c r="C81" s="96" t="s">
        <v>58</v>
      </c>
      <c r="D81" s="96"/>
      <c r="E81" s="64" t="s">
        <v>67</v>
      </c>
      <c r="F81" s="64" t="s">
        <v>68</v>
      </c>
      <c r="G81" s="97" t="s">
        <v>69</v>
      </c>
      <c r="H81" s="98"/>
      <c r="I81" s="16" t="s">
        <v>19</v>
      </c>
      <c r="J81" s="99" t="s">
        <v>20</v>
      </c>
      <c r="K81" s="99"/>
      <c r="L81" s="64" t="s">
        <v>70</v>
      </c>
      <c r="M81" s="63" t="s">
        <v>22</v>
      </c>
    </row>
    <row r="82" spans="1:13" x14ac:dyDescent="0.25">
      <c r="A82" s="18" t="s">
        <v>23</v>
      </c>
      <c r="B82" s="51">
        <f>B85+B102+B104</f>
        <v>10438536</v>
      </c>
      <c r="C82" s="19">
        <f t="shared" ref="C82:L82" si="19">C85+C102+C104</f>
        <v>2401402</v>
      </c>
      <c r="D82" s="51">
        <f>D85+D102+D104</f>
        <v>97000</v>
      </c>
      <c r="E82" s="51">
        <f>E85+E102+E104</f>
        <v>2498402</v>
      </c>
      <c r="F82" s="51">
        <f t="shared" si="19"/>
        <v>418470</v>
      </c>
      <c r="G82" s="19">
        <f t="shared" si="19"/>
        <v>10000</v>
      </c>
      <c r="H82" s="19">
        <f>H85+H102+H104</f>
        <v>960100</v>
      </c>
      <c r="I82" s="51">
        <f>I85+I102+I104</f>
        <v>970100</v>
      </c>
      <c r="J82" s="19">
        <f t="shared" si="19"/>
        <v>5899033</v>
      </c>
      <c r="K82" s="19">
        <f t="shared" si="19"/>
        <v>620249</v>
      </c>
      <c r="L82" s="51">
        <f t="shared" si="19"/>
        <v>6519282</v>
      </c>
      <c r="M82" s="19">
        <f>B82+E82+F82+I82+L82</f>
        <v>20844790</v>
      </c>
    </row>
    <row r="83" spans="1:13" s="59" customFormat="1" x14ac:dyDescent="0.25">
      <c r="A83" s="56"/>
      <c r="B83" s="72">
        <v>10438536</v>
      </c>
      <c r="C83" s="57">
        <v>2401402</v>
      </c>
      <c r="D83" s="57">
        <v>97000</v>
      </c>
      <c r="E83" s="57">
        <f>C83+D83</f>
        <v>2498402</v>
      </c>
      <c r="F83" s="57">
        <v>418470</v>
      </c>
      <c r="G83" s="57">
        <v>10000</v>
      </c>
      <c r="H83" s="57">
        <v>960100</v>
      </c>
      <c r="I83" s="57">
        <f>G83+H83</f>
        <v>970100</v>
      </c>
      <c r="J83" s="57">
        <v>5899033</v>
      </c>
      <c r="K83" s="57">
        <v>620249</v>
      </c>
      <c r="L83" s="57">
        <f>J83+K83</f>
        <v>6519282</v>
      </c>
      <c r="M83" s="57">
        <f>B83+E83+F83+I83+L83</f>
        <v>20844790</v>
      </c>
    </row>
    <row r="84" spans="1:13" x14ac:dyDescent="0.25">
      <c r="A84" s="20"/>
      <c r="B84" s="77">
        <f>B82-B83</f>
        <v>0</v>
      </c>
      <c r="C84" s="69">
        <f t="shared" ref="C84:D84" si="20">C82-C83</f>
        <v>0</v>
      </c>
      <c r="D84" s="69">
        <f t="shared" si="20"/>
        <v>0</v>
      </c>
      <c r="E84" s="69">
        <f>E82-E83</f>
        <v>0</v>
      </c>
      <c r="F84" s="69">
        <f>F82-F83</f>
        <v>0</v>
      </c>
      <c r="G84" s="69">
        <f t="shared" ref="G84:L84" si="21">G82-G83</f>
        <v>0</v>
      </c>
      <c r="H84" s="69">
        <f t="shared" si="21"/>
        <v>0</v>
      </c>
      <c r="I84" s="69">
        <f t="shared" si="21"/>
        <v>0</v>
      </c>
      <c r="J84" s="69">
        <f t="shared" si="21"/>
        <v>0</v>
      </c>
      <c r="K84" s="69">
        <f t="shared" si="21"/>
        <v>0</v>
      </c>
      <c r="L84" s="69">
        <f t="shared" si="21"/>
        <v>0</v>
      </c>
      <c r="M84" s="69">
        <f>M82-M83</f>
        <v>0</v>
      </c>
    </row>
    <row r="85" spans="1:13" x14ac:dyDescent="0.25">
      <c r="A85" s="23" t="s">
        <v>24</v>
      </c>
      <c r="B85" s="24">
        <f t="shared" ref="B85:M85" si="22">SUM(B86:B101)</f>
        <v>1853073</v>
      </c>
      <c r="C85" s="24">
        <f t="shared" si="22"/>
        <v>1667062</v>
      </c>
      <c r="D85" s="24">
        <f t="shared" si="22"/>
        <v>63000</v>
      </c>
      <c r="E85" s="24">
        <f t="shared" si="22"/>
        <v>1730062</v>
      </c>
      <c r="F85" s="24">
        <f t="shared" si="22"/>
        <v>268470</v>
      </c>
      <c r="G85" s="24">
        <f t="shared" si="22"/>
        <v>0</v>
      </c>
      <c r="H85" s="24">
        <f t="shared" si="22"/>
        <v>880100</v>
      </c>
      <c r="I85" s="24">
        <f t="shared" si="22"/>
        <v>880100</v>
      </c>
      <c r="J85" s="24">
        <f t="shared" si="22"/>
        <v>5599033</v>
      </c>
      <c r="K85" s="24">
        <f t="shared" si="22"/>
        <v>620249</v>
      </c>
      <c r="L85" s="24">
        <f t="shared" si="22"/>
        <v>6219282</v>
      </c>
      <c r="M85" s="24">
        <f t="shared" si="22"/>
        <v>10950987</v>
      </c>
    </row>
    <row r="86" spans="1:13" x14ac:dyDescent="0.25">
      <c r="A86" s="35" t="s">
        <v>25</v>
      </c>
      <c r="B86" s="73">
        <v>185063</v>
      </c>
      <c r="C86" s="26">
        <v>55000</v>
      </c>
      <c r="D86" s="26"/>
      <c r="E86" s="27">
        <f>SUM(C86:D86)</f>
        <v>55000</v>
      </c>
      <c r="F86" s="27"/>
      <c r="G86" s="27"/>
      <c r="H86" s="27">
        <f>160000+241680-151680</f>
        <v>250000</v>
      </c>
      <c r="I86" s="37">
        <f>G86+H86</f>
        <v>250000</v>
      </c>
      <c r="J86" s="37">
        <v>0</v>
      </c>
      <c r="K86" s="27">
        <v>0</v>
      </c>
      <c r="L86" s="28">
        <f>J86+K86</f>
        <v>0</v>
      </c>
      <c r="M86" s="22">
        <f t="shared" ref="M86:M101" si="23">B86+E86+F86+I86+L86</f>
        <v>490063</v>
      </c>
    </row>
    <row r="87" spans="1:13" x14ac:dyDescent="0.25">
      <c r="A87" s="35" t="s">
        <v>26</v>
      </c>
      <c r="B87" s="73">
        <v>251337</v>
      </c>
      <c r="C87" s="26">
        <v>120000</v>
      </c>
      <c r="D87" s="26">
        <v>28000</v>
      </c>
      <c r="E87" s="27">
        <f t="shared" ref="E87:E101" si="24">SUM(C87:D87)</f>
        <v>148000</v>
      </c>
      <c r="F87" s="27"/>
      <c r="G87" s="27"/>
      <c r="H87" s="27"/>
      <c r="I87" s="37">
        <f t="shared" ref="I87:I107" si="25">G87+H87</f>
        <v>0</v>
      </c>
      <c r="J87" s="37">
        <v>0</v>
      </c>
      <c r="K87" s="27">
        <v>0</v>
      </c>
      <c r="L87" s="28">
        <f t="shared" ref="L87:L107" si="26">J87+K87</f>
        <v>0</v>
      </c>
      <c r="M87" s="22">
        <f t="shared" si="23"/>
        <v>399337</v>
      </c>
    </row>
    <row r="88" spans="1:13" x14ac:dyDescent="0.25">
      <c r="A88" s="35" t="s">
        <v>59</v>
      </c>
      <c r="B88" s="73">
        <v>6663</v>
      </c>
      <c r="C88" s="26">
        <v>2000</v>
      </c>
      <c r="D88" s="26"/>
      <c r="E88" s="27">
        <f t="shared" si="24"/>
        <v>2000</v>
      </c>
      <c r="F88" s="27"/>
      <c r="G88" s="27"/>
      <c r="H88" s="27"/>
      <c r="I88" s="37">
        <f t="shared" si="25"/>
        <v>0</v>
      </c>
      <c r="J88" s="37">
        <v>0</v>
      </c>
      <c r="K88" s="27">
        <v>0</v>
      </c>
      <c r="L88" s="28">
        <f t="shared" si="26"/>
        <v>0</v>
      </c>
      <c r="M88" s="22">
        <f t="shared" si="23"/>
        <v>8663</v>
      </c>
    </row>
    <row r="89" spans="1:13" x14ac:dyDescent="0.25">
      <c r="A89" s="35" t="s">
        <v>28</v>
      </c>
      <c r="B89" s="73">
        <v>112456</v>
      </c>
      <c r="C89" s="26">
        <v>60000</v>
      </c>
      <c r="D89" s="26"/>
      <c r="E89" s="27">
        <f t="shared" si="24"/>
        <v>60000</v>
      </c>
      <c r="F89" s="27"/>
      <c r="G89" s="27"/>
      <c r="H89" s="27"/>
      <c r="I89" s="37">
        <f t="shared" si="25"/>
        <v>0</v>
      </c>
      <c r="J89" s="37">
        <v>0</v>
      </c>
      <c r="K89" s="27">
        <v>0</v>
      </c>
      <c r="L89" s="28">
        <f t="shared" si="26"/>
        <v>0</v>
      </c>
      <c r="M89" s="22">
        <f t="shared" si="23"/>
        <v>172456</v>
      </c>
    </row>
    <row r="90" spans="1:13" x14ac:dyDescent="0.25">
      <c r="A90" s="35" t="s">
        <v>29</v>
      </c>
      <c r="B90" s="73">
        <v>309331</v>
      </c>
      <c r="C90" s="26">
        <v>17000</v>
      </c>
      <c r="D90" s="26"/>
      <c r="E90" s="27">
        <f t="shared" si="24"/>
        <v>17000</v>
      </c>
      <c r="F90" s="27"/>
      <c r="G90" s="27"/>
      <c r="H90" s="27"/>
      <c r="I90" s="37">
        <f t="shared" si="25"/>
        <v>0</v>
      </c>
      <c r="J90" s="37">
        <v>0</v>
      </c>
      <c r="K90" s="27">
        <v>0</v>
      </c>
      <c r="L90" s="28">
        <f t="shared" si="26"/>
        <v>0</v>
      </c>
      <c r="M90" s="22">
        <f t="shared" si="23"/>
        <v>326331</v>
      </c>
    </row>
    <row r="91" spans="1:13" x14ac:dyDescent="0.25">
      <c r="A91" s="35" t="s">
        <v>30</v>
      </c>
      <c r="B91" s="73">
        <v>115604</v>
      </c>
      <c r="C91" s="26">
        <v>200000</v>
      </c>
      <c r="D91" s="27"/>
      <c r="E91" s="27">
        <f t="shared" si="24"/>
        <v>200000</v>
      </c>
      <c r="F91" s="27"/>
      <c r="G91" s="27"/>
      <c r="H91" s="27"/>
      <c r="I91" s="37">
        <f t="shared" si="25"/>
        <v>0</v>
      </c>
      <c r="J91" s="37">
        <v>53524</v>
      </c>
      <c r="K91" s="27">
        <v>50000</v>
      </c>
      <c r="L91" s="28">
        <f t="shared" si="26"/>
        <v>103524</v>
      </c>
      <c r="M91" s="22">
        <f t="shared" si="23"/>
        <v>419128</v>
      </c>
    </row>
    <row r="92" spans="1:13" x14ac:dyDescent="0.25">
      <c r="A92" s="35" t="s">
        <v>31</v>
      </c>
      <c r="B92" s="73">
        <v>32130</v>
      </c>
      <c r="C92" s="26">
        <f>390000+70000+110000+40001-7939</f>
        <v>602062</v>
      </c>
      <c r="D92" s="26">
        <v>35000</v>
      </c>
      <c r="E92" s="27">
        <f t="shared" si="24"/>
        <v>637062</v>
      </c>
      <c r="F92" s="27">
        <f>221000+25000+18470</f>
        <v>264470</v>
      </c>
      <c r="G92" s="37"/>
      <c r="H92" s="27">
        <v>50000</v>
      </c>
      <c r="I92" s="37">
        <f t="shared" si="25"/>
        <v>50000</v>
      </c>
      <c r="J92" s="37">
        <v>1050000</v>
      </c>
      <c r="K92" s="27">
        <v>168651</v>
      </c>
      <c r="L92" s="28">
        <f t="shared" si="26"/>
        <v>1218651</v>
      </c>
      <c r="M92" s="22">
        <f t="shared" si="23"/>
        <v>2202313</v>
      </c>
    </row>
    <row r="93" spans="1:13" x14ac:dyDescent="0.25">
      <c r="A93" s="35" t="s">
        <v>60</v>
      </c>
      <c r="B93" s="73">
        <v>199277</v>
      </c>
      <c r="C93" s="26">
        <v>15000</v>
      </c>
      <c r="D93" s="26"/>
      <c r="E93" s="27">
        <f t="shared" si="24"/>
        <v>15000</v>
      </c>
      <c r="F93" s="27"/>
      <c r="G93" s="27"/>
      <c r="H93" s="27"/>
      <c r="I93" s="37">
        <f t="shared" si="25"/>
        <v>0</v>
      </c>
      <c r="J93" s="37">
        <v>0</v>
      </c>
      <c r="K93" s="27">
        <v>0</v>
      </c>
      <c r="L93" s="28">
        <f t="shared" si="26"/>
        <v>0</v>
      </c>
      <c r="M93" s="22">
        <f t="shared" si="23"/>
        <v>214277</v>
      </c>
    </row>
    <row r="94" spans="1:13" x14ac:dyDescent="0.25">
      <c r="A94" s="35" t="s">
        <v>61</v>
      </c>
      <c r="B94" s="73">
        <v>106371</v>
      </c>
      <c r="C94" s="26">
        <v>15000</v>
      </c>
      <c r="D94" s="26"/>
      <c r="E94" s="27">
        <f t="shared" si="24"/>
        <v>15000</v>
      </c>
      <c r="F94" s="27"/>
      <c r="G94" s="27"/>
      <c r="H94" s="27"/>
      <c r="I94" s="37">
        <f t="shared" si="25"/>
        <v>0</v>
      </c>
      <c r="J94" s="37">
        <v>0</v>
      </c>
      <c r="K94" s="27">
        <v>20000</v>
      </c>
      <c r="L94" s="28">
        <f t="shared" si="26"/>
        <v>20000</v>
      </c>
      <c r="M94" s="22">
        <f t="shared" si="23"/>
        <v>141371</v>
      </c>
    </row>
    <row r="95" spans="1:13" x14ac:dyDescent="0.25">
      <c r="A95" s="35" t="s">
        <v>34</v>
      </c>
      <c r="B95" s="73">
        <v>78812</v>
      </c>
      <c r="C95" s="26">
        <v>90000</v>
      </c>
      <c r="D95" s="26"/>
      <c r="E95" s="27">
        <f t="shared" si="24"/>
        <v>90000</v>
      </c>
      <c r="F95" s="27"/>
      <c r="G95" s="27"/>
      <c r="H95" s="27">
        <v>440000</v>
      </c>
      <c r="I95" s="37">
        <f t="shared" si="25"/>
        <v>440000</v>
      </c>
      <c r="J95" s="37">
        <v>1250000</v>
      </c>
      <c r="K95" s="27">
        <v>100000</v>
      </c>
      <c r="L95" s="28">
        <f t="shared" si="26"/>
        <v>1350000</v>
      </c>
      <c r="M95" s="22">
        <f t="shared" si="23"/>
        <v>1958812</v>
      </c>
    </row>
    <row r="96" spans="1:13" x14ac:dyDescent="0.25">
      <c r="A96" s="35" t="s">
        <v>62</v>
      </c>
      <c r="B96" s="73">
        <v>53490</v>
      </c>
      <c r="C96" s="26">
        <f>17000+3000</f>
        <v>20000</v>
      </c>
      <c r="D96" s="26"/>
      <c r="E96" s="27">
        <f t="shared" si="24"/>
        <v>20000</v>
      </c>
      <c r="F96" s="27"/>
      <c r="G96" s="27"/>
      <c r="H96" s="27">
        <v>20000</v>
      </c>
      <c r="I96" s="37">
        <f t="shared" si="25"/>
        <v>20000</v>
      </c>
      <c r="J96" s="37">
        <v>50000</v>
      </c>
      <c r="K96" s="27">
        <v>70242</v>
      </c>
      <c r="L96" s="28">
        <f t="shared" si="26"/>
        <v>120242</v>
      </c>
      <c r="M96" s="22">
        <f t="shared" si="23"/>
        <v>213732</v>
      </c>
    </row>
    <row r="97" spans="1:13" x14ac:dyDescent="0.25">
      <c r="A97" s="35" t="s">
        <v>36</v>
      </c>
      <c r="B97" s="73">
        <v>84696</v>
      </c>
      <c r="C97" s="26">
        <v>16000</v>
      </c>
      <c r="D97" s="26"/>
      <c r="E97" s="27">
        <f t="shared" si="24"/>
        <v>16000</v>
      </c>
      <c r="F97" s="27"/>
      <c r="G97" s="27"/>
      <c r="H97" s="27"/>
      <c r="I97" s="37">
        <f t="shared" si="25"/>
        <v>0</v>
      </c>
      <c r="J97" s="37">
        <v>0</v>
      </c>
      <c r="K97" s="27">
        <v>0</v>
      </c>
      <c r="L97" s="28">
        <f t="shared" si="26"/>
        <v>0</v>
      </c>
      <c r="M97" s="22">
        <f t="shared" si="23"/>
        <v>100696</v>
      </c>
    </row>
    <row r="98" spans="1:13" x14ac:dyDescent="0.25">
      <c r="A98" s="35" t="s">
        <v>37</v>
      </c>
      <c r="B98" s="73">
        <v>53784</v>
      </c>
      <c r="C98" s="26">
        <f>180000+140000</f>
        <v>320000</v>
      </c>
      <c r="D98" s="26"/>
      <c r="E98" s="27">
        <f t="shared" si="24"/>
        <v>320000</v>
      </c>
      <c r="F98" s="27"/>
      <c r="G98" s="27"/>
      <c r="H98" s="27"/>
      <c r="I98" s="37">
        <f t="shared" si="25"/>
        <v>0</v>
      </c>
      <c r="J98" s="37">
        <v>1830000</v>
      </c>
      <c r="K98" s="27">
        <v>130000</v>
      </c>
      <c r="L98" s="28">
        <f t="shared" si="26"/>
        <v>1960000</v>
      </c>
      <c r="M98" s="22">
        <f t="shared" si="23"/>
        <v>2333784</v>
      </c>
    </row>
    <row r="99" spans="1:13" x14ac:dyDescent="0.25">
      <c r="A99" s="35" t="s">
        <v>38</v>
      </c>
      <c r="B99" s="73">
        <v>107757</v>
      </c>
      <c r="C99" s="26">
        <v>10000</v>
      </c>
      <c r="D99" s="26"/>
      <c r="E99" s="27">
        <f t="shared" si="24"/>
        <v>10000</v>
      </c>
      <c r="F99" s="36">
        <v>4000</v>
      </c>
      <c r="G99" s="43"/>
      <c r="H99" s="27"/>
      <c r="I99" s="37">
        <f t="shared" si="25"/>
        <v>0</v>
      </c>
      <c r="J99" s="37">
        <v>0</v>
      </c>
      <c r="K99" s="27">
        <v>0</v>
      </c>
      <c r="L99" s="28">
        <f t="shared" si="26"/>
        <v>0</v>
      </c>
      <c r="M99" s="22">
        <f t="shared" si="23"/>
        <v>121757</v>
      </c>
    </row>
    <row r="100" spans="1:13" x14ac:dyDescent="0.25">
      <c r="A100" s="35" t="s">
        <v>39</v>
      </c>
      <c r="B100" s="73">
        <v>94992</v>
      </c>
      <c r="C100" s="26">
        <f>50000+20000</f>
        <v>70000</v>
      </c>
      <c r="D100" s="26"/>
      <c r="E100" s="27">
        <f t="shared" si="24"/>
        <v>70000</v>
      </c>
      <c r="F100" s="27"/>
      <c r="G100" s="27"/>
      <c r="H100" s="27">
        <f>110000+10100</f>
        <v>120100</v>
      </c>
      <c r="I100" s="37">
        <f t="shared" si="25"/>
        <v>120100</v>
      </c>
      <c r="J100" s="37">
        <v>515509</v>
      </c>
      <c r="K100" s="27">
        <v>81356</v>
      </c>
      <c r="L100" s="28">
        <f t="shared" si="26"/>
        <v>596865</v>
      </c>
      <c r="M100" s="22">
        <f t="shared" si="23"/>
        <v>881957</v>
      </c>
    </row>
    <row r="101" spans="1:13" x14ac:dyDescent="0.25">
      <c r="A101" s="25" t="s">
        <v>40</v>
      </c>
      <c r="B101" s="73">
        <v>61310</v>
      </c>
      <c r="C101" s="26">
        <v>55000</v>
      </c>
      <c r="D101" s="26"/>
      <c r="E101" s="27">
        <f t="shared" si="24"/>
        <v>55000</v>
      </c>
      <c r="F101" s="27"/>
      <c r="G101" s="27"/>
      <c r="H101" s="27"/>
      <c r="I101" s="37">
        <f t="shared" si="25"/>
        <v>0</v>
      </c>
      <c r="J101" s="37">
        <v>850000</v>
      </c>
      <c r="K101" s="27">
        <v>0</v>
      </c>
      <c r="L101" s="28">
        <f t="shared" si="26"/>
        <v>850000</v>
      </c>
      <c r="M101" s="22">
        <f t="shared" si="23"/>
        <v>966310</v>
      </c>
    </row>
    <row r="102" spans="1:13" ht="21" customHeight="1" x14ac:dyDescent="0.25">
      <c r="A102" s="31" t="s">
        <v>63</v>
      </c>
      <c r="B102" s="32">
        <f t="shared" ref="B102:M102" si="27">SUM(B103)</f>
        <v>1831117</v>
      </c>
      <c r="C102" s="32">
        <f t="shared" si="27"/>
        <v>350000</v>
      </c>
      <c r="D102" s="32">
        <f t="shared" si="27"/>
        <v>0</v>
      </c>
      <c r="E102" s="32">
        <f t="shared" si="27"/>
        <v>350000</v>
      </c>
      <c r="F102" s="32">
        <f t="shared" si="27"/>
        <v>80000</v>
      </c>
      <c r="G102" s="32">
        <f t="shared" si="27"/>
        <v>10000</v>
      </c>
      <c r="H102" s="32">
        <f t="shared" si="27"/>
        <v>80000</v>
      </c>
      <c r="I102" s="32">
        <f t="shared" si="27"/>
        <v>90000</v>
      </c>
      <c r="J102" s="32">
        <f t="shared" si="27"/>
        <v>300000</v>
      </c>
      <c r="K102" s="32">
        <f t="shared" si="27"/>
        <v>0</v>
      </c>
      <c r="L102" s="32">
        <f t="shared" si="27"/>
        <v>300000</v>
      </c>
      <c r="M102" s="32">
        <f t="shared" si="27"/>
        <v>2651117</v>
      </c>
    </row>
    <row r="103" spans="1:13" x14ac:dyDescent="0.25">
      <c r="A103" s="30" t="s">
        <v>42</v>
      </c>
      <c r="B103" s="73">
        <f>1930000-98883</f>
        <v>1831117</v>
      </c>
      <c r="C103" s="26">
        <v>350000</v>
      </c>
      <c r="D103" s="27"/>
      <c r="E103" s="27">
        <f t="shared" ref="E103" si="28">SUM(C103:D103)</f>
        <v>350000</v>
      </c>
      <c r="F103" s="37">
        <v>80000</v>
      </c>
      <c r="G103" s="37">
        <v>10000</v>
      </c>
      <c r="H103" s="37">
        <v>80000</v>
      </c>
      <c r="I103" s="37">
        <f t="shared" si="25"/>
        <v>90000</v>
      </c>
      <c r="J103" s="49">
        <v>300000</v>
      </c>
      <c r="K103" s="27"/>
      <c r="L103" s="28">
        <f t="shared" si="26"/>
        <v>300000</v>
      </c>
      <c r="M103" s="22">
        <f>B103+E103+F103+I103+L103</f>
        <v>2651117</v>
      </c>
    </row>
    <row r="104" spans="1:13" ht="21" customHeight="1" x14ac:dyDescent="0.25">
      <c r="A104" s="31" t="s">
        <v>64</v>
      </c>
      <c r="B104" s="32">
        <f t="shared" ref="B104:M104" si="29">SUM(B105:B107)</f>
        <v>6754346</v>
      </c>
      <c r="C104" s="32">
        <f t="shared" si="29"/>
        <v>384340</v>
      </c>
      <c r="D104" s="32">
        <f t="shared" si="29"/>
        <v>34000</v>
      </c>
      <c r="E104" s="32">
        <f t="shared" si="29"/>
        <v>418340</v>
      </c>
      <c r="F104" s="32">
        <f t="shared" si="29"/>
        <v>70000</v>
      </c>
      <c r="G104" s="32">
        <f t="shared" si="29"/>
        <v>0</v>
      </c>
      <c r="H104" s="32">
        <f t="shared" si="29"/>
        <v>0</v>
      </c>
      <c r="I104" s="32">
        <f t="shared" si="29"/>
        <v>0</v>
      </c>
      <c r="J104" s="32">
        <f t="shared" si="29"/>
        <v>0</v>
      </c>
      <c r="K104" s="32">
        <f t="shared" si="29"/>
        <v>0</v>
      </c>
      <c r="L104" s="32">
        <f t="shared" si="29"/>
        <v>0</v>
      </c>
      <c r="M104" s="32">
        <f t="shared" si="29"/>
        <v>7242686</v>
      </c>
    </row>
    <row r="105" spans="1:13" x14ac:dyDescent="0.25">
      <c r="A105" s="25" t="s">
        <v>65</v>
      </c>
      <c r="B105" s="73">
        <v>221690</v>
      </c>
      <c r="C105" s="26">
        <v>53000</v>
      </c>
      <c r="D105" s="26">
        <v>34000</v>
      </c>
      <c r="E105" s="27">
        <f t="shared" ref="E105:E107" si="30">SUM(C105:D105)</f>
        <v>87000</v>
      </c>
      <c r="F105" s="37">
        <v>8500</v>
      </c>
      <c r="G105" s="37"/>
      <c r="H105" s="27"/>
      <c r="I105" s="37">
        <f t="shared" si="25"/>
        <v>0</v>
      </c>
      <c r="J105" s="27"/>
      <c r="K105" s="27"/>
      <c r="L105" s="28">
        <f t="shared" si="26"/>
        <v>0</v>
      </c>
      <c r="M105" s="22">
        <f>B105+E105+F105+I105+L105</f>
        <v>317190</v>
      </c>
    </row>
    <row r="106" spans="1:13" x14ac:dyDescent="0.25">
      <c r="A106" s="25" t="s">
        <v>45</v>
      </c>
      <c r="B106" s="73">
        <v>5283187</v>
      </c>
      <c r="C106" s="26">
        <f>193237+40000</f>
        <v>233237</v>
      </c>
      <c r="D106" s="26"/>
      <c r="E106" s="27">
        <f t="shared" si="30"/>
        <v>233237</v>
      </c>
      <c r="F106" s="37">
        <v>46500</v>
      </c>
      <c r="G106" s="37"/>
      <c r="H106" s="27"/>
      <c r="I106" s="37">
        <f t="shared" si="25"/>
        <v>0</v>
      </c>
      <c r="J106" s="50"/>
      <c r="K106" s="27"/>
      <c r="L106" s="28">
        <f t="shared" si="26"/>
        <v>0</v>
      </c>
      <c r="M106" s="22">
        <f>B106+E106+F106+I106+L106</f>
        <v>5562924</v>
      </c>
    </row>
    <row r="107" spans="1:13" x14ac:dyDescent="0.25">
      <c r="A107" s="25" t="s">
        <v>66</v>
      </c>
      <c r="B107" s="73">
        <v>1249469</v>
      </c>
      <c r="C107" s="26">
        <f>57078+41025</f>
        <v>98103</v>
      </c>
      <c r="D107" s="26"/>
      <c r="E107" s="27">
        <f t="shared" si="30"/>
        <v>98103</v>
      </c>
      <c r="F107" s="37">
        <v>15000</v>
      </c>
      <c r="G107" s="37"/>
      <c r="H107" s="27"/>
      <c r="I107" s="37">
        <f t="shared" si="25"/>
        <v>0</v>
      </c>
      <c r="J107" s="38"/>
      <c r="K107" s="27"/>
      <c r="L107" s="28">
        <f t="shared" si="26"/>
        <v>0</v>
      </c>
      <c r="M107" s="22">
        <f>B107+E107+F107+I107+L107</f>
        <v>1362572</v>
      </c>
    </row>
    <row r="108" spans="1:13" ht="21" customHeight="1" x14ac:dyDescent="0.25">
      <c r="B108" s="78"/>
    </row>
    <row r="109" spans="1:13" ht="21" customHeight="1" x14ac:dyDescent="0.25">
      <c r="A109" s="9" t="s">
        <v>54</v>
      </c>
      <c r="B109" s="33"/>
      <c r="C109" s="9" t="s">
        <v>11</v>
      </c>
      <c r="D109" s="9" t="s">
        <v>12</v>
      </c>
      <c r="E109" s="33"/>
      <c r="F109" s="9"/>
      <c r="G109" s="9" t="s">
        <v>11</v>
      </c>
      <c r="H109" s="9" t="s">
        <v>12</v>
      </c>
      <c r="I109" s="9"/>
      <c r="J109" s="9" t="s">
        <v>11</v>
      </c>
      <c r="K109" s="9" t="s">
        <v>12</v>
      </c>
      <c r="L109" s="34"/>
      <c r="M109" s="34"/>
    </row>
    <row r="110" spans="1:13" ht="38.25" x14ac:dyDescent="0.25">
      <c r="A110" s="11" t="s">
        <v>13</v>
      </c>
      <c r="B110" s="74" t="s">
        <v>14</v>
      </c>
      <c r="C110" s="96" t="s">
        <v>58</v>
      </c>
      <c r="D110" s="96"/>
      <c r="E110" s="64" t="s">
        <v>67</v>
      </c>
      <c r="F110" s="64" t="s">
        <v>68</v>
      </c>
      <c r="G110" s="97" t="s">
        <v>69</v>
      </c>
      <c r="H110" s="98"/>
      <c r="I110" s="16" t="s">
        <v>19</v>
      </c>
      <c r="J110" s="99" t="s">
        <v>20</v>
      </c>
      <c r="K110" s="99"/>
      <c r="L110" s="64" t="s">
        <v>70</v>
      </c>
      <c r="M110" s="63" t="s">
        <v>22</v>
      </c>
    </row>
    <row r="111" spans="1:13" ht="21" customHeight="1" x14ac:dyDescent="0.25">
      <c r="A111" s="18" t="s">
        <v>23</v>
      </c>
      <c r="B111" s="51">
        <f>B114+B131+B133</f>
        <v>10469851</v>
      </c>
      <c r="C111" s="19">
        <f t="shared" ref="C111" si="31">C114+C131+C133</f>
        <v>2325200</v>
      </c>
      <c r="D111" s="19">
        <f>D114+D131+D133</f>
        <v>240659</v>
      </c>
      <c r="E111" s="51">
        <f>E114+E131+E133</f>
        <v>2565859</v>
      </c>
      <c r="F111" s="51">
        <f t="shared" ref="F111:G111" si="32">F114+F131+F133</f>
        <v>445671</v>
      </c>
      <c r="G111" s="19">
        <f t="shared" si="32"/>
        <v>10000</v>
      </c>
      <c r="H111" s="19">
        <f>H114+H131+H133</f>
        <v>1018306</v>
      </c>
      <c r="I111" s="51">
        <f>I114+I131+I133</f>
        <v>1028306</v>
      </c>
      <c r="J111" s="19">
        <f t="shared" ref="J111:L111" si="33">J114+J131+J133</f>
        <v>6868598</v>
      </c>
      <c r="K111" s="19">
        <f t="shared" si="33"/>
        <v>501626</v>
      </c>
      <c r="L111" s="51">
        <f t="shared" si="33"/>
        <v>7370224</v>
      </c>
      <c r="M111" s="19">
        <f>B111+E111+F111+I111+L111</f>
        <v>21879911</v>
      </c>
    </row>
    <row r="112" spans="1:13" s="59" customFormat="1" ht="21" customHeight="1" x14ac:dyDescent="0.25">
      <c r="A112" s="56"/>
      <c r="B112" s="71">
        <v>10469851</v>
      </c>
      <c r="C112" s="57">
        <v>2325200</v>
      </c>
      <c r="D112" s="57">
        <v>240659</v>
      </c>
      <c r="E112" s="58">
        <f>C112+D112</f>
        <v>2565859</v>
      </c>
      <c r="F112" s="58">
        <v>445671</v>
      </c>
      <c r="G112" s="57">
        <v>10000</v>
      </c>
      <c r="H112" s="57">
        <v>1018306</v>
      </c>
      <c r="I112" s="58">
        <f>G112+H112</f>
        <v>1028306</v>
      </c>
      <c r="J112" s="57">
        <v>6868598</v>
      </c>
      <c r="K112" s="57">
        <v>501626</v>
      </c>
      <c r="L112" s="58">
        <f>J112+K112</f>
        <v>7370224</v>
      </c>
      <c r="M112" s="57">
        <f>B112+E112+F112+I112+L112</f>
        <v>21879911</v>
      </c>
    </row>
    <row r="113" spans="1:13" ht="21" customHeight="1" x14ac:dyDescent="0.25">
      <c r="A113" s="20"/>
      <c r="B113" s="79">
        <f>B111-B112</f>
        <v>0</v>
      </c>
      <c r="C113" s="70">
        <f t="shared" ref="C113:M113" si="34">C111-C112</f>
        <v>0</v>
      </c>
      <c r="D113" s="70">
        <f t="shared" si="34"/>
        <v>0</v>
      </c>
      <c r="E113" s="70">
        <f t="shared" si="34"/>
        <v>0</v>
      </c>
      <c r="F113" s="70">
        <f t="shared" si="34"/>
        <v>0</v>
      </c>
      <c r="G113" s="70">
        <f t="shared" si="34"/>
        <v>0</v>
      </c>
      <c r="H113" s="70">
        <f t="shared" si="34"/>
        <v>0</v>
      </c>
      <c r="I113" s="70">
        <f t="shared" si="34"/>
        <v>0</v>
      </c>
      <c r="J113" s="70">
        <f t="shared" si="34"/>
        <v>0</v>
      </c>
      <c r="K113" s="70">
        <f t="shared" si="34"/>
        <v>0</v>
      </c>
      <c r="L113" s="70">
        <f t="shared" si="34"/>
        <v>0</v>
      </c>
      <c r="M113" s="70">
        <f t="shared" si="34"/>
        <v>0</v>
      </c>
    </row>
    <row r="114" spans="1:13" ht="21" customHeight="1" x14ac:dyDescent="0.25">
      <c r="A114" s="23" t="s">
        <v>24</v>
      </c>
      <c r="B114" s="24">
        <f t="shared" ref="B114:M114" si="35">SUM(B115:B130)</f>
        <v>1838521</v>
      </c>
      <c r="C114" s="24">
        <f t="shared" si="35"/>
        <v>1590860</v>
      </c>
      <c r="D114" s="24">
        <f t="shared" si="35"/>
        <v>206659</v>
      </c>
      <c r="E114" s="24">
        <f t="shared" si="35"/>
        <v>1797519</v>
      </c>
      <c r="F114" s="24">
        <f t="shared" si="35"/>
        <v>270000</v>
      </c>
      <c r="G114" s="24">
        <f t="shared" si="35"/>
        <v>0</v>
      </c>
      <c r="H114" s="24">
        <f t="shared" si="35"/>
        <v>938306</v>
      </c>
      <c r="I114" s="24">
        <f t="shared" si="35"/>
        <v>938306</v>
      </c>
      <c r="J114" s="24">
        <f t="shared" si="35"/>
        <v>6498598</v>
      </c>
      <c r="K114" s="24">
        <f t="shared" si="35"/>
        <v>501626</v>
      </c>
      <c r="L114" s="24">
        <f t="shared" si="35"/>
        <v>7000224</v>
      </c>
      <c r="M114" s="24">
        <f t="shared" si="35"/>
        <v>11844570</v>
      </c>
    </row>
    <row r="115" spans="1:13" x14ac:dyDescent="0.25">
      <c r="A115" s="35" t="s">
        <v>25</v>
      </c>
      <c r="B115" s="73">
        <v>185297</v>
      </c>
      <c r="C115" s="26">
        <v>55000</v>
      </c>
      <c r="D115" s="26"/>
      <c r="E115" s="27">
        <f>SUM(C115:D115)</f>
        <v>55000</v>
      </c>
      <c r="F115" s="27"/>
      <c r="G115" s="27"/>
      <c r="H115" s="27">
        <v>250000</v>
      </c>
      <c r="I115" s="37">
        <f>G115+H115</f>
        <v>250000</v>
      </c>
      <c r="J115" s="37">
        <v>0</v>
      </c>
      <c r="K115" s="27">
        <v>0</v>
      </c>
      <c r="L115" s="28">
        <f>J115+K115</f>
        <v>0</v>
      </c>
      <c r="M115" s="22">
        <f t="shared" ref="M115:M130" si="36">B115+E115+F115+I115+L115</f>
        <v>490297</v>
      </c>
    </row>
    <row r="116" spans="1:13" x14ac:dyDescent="0.25">
      <c r="A116" s="35" t="s">
        <v>26</v>
      </c>
      <c r="B116" s="73">
        <f>252254-1000</f>
        <v>251254</v>
      </c>
      <c r="C116" s="26">
        <v>100000</v>
      </c>
      <c r="D116" s="26">
        <v>28000</v>
      </c>
      <c r="E116" s="27">
        <f t="shared" ref="E116:E130" si="37">SUM(C116:D116)</f>
        <v>128000</v>
      </c>
      <c r="F116" s="27"/>
      <c r="G116" s="27"/>
      <c r="H116" s="27"/>
      <c r="I116" s="37">
        <f t="shared" ref="I116:I130" si="38">G116+H116</f>
        <v>0</v>
      </c>
      <c r="J116" s="37">
        <v>0</v>
      </c>
      <c r="K116" s="27">
        <v>0</v>
      </c>
      <c r="L116" s="28">
        <f t="shared" ref="L116:L130" si="39">J116+K116</f>
        <v>0</v>
      </c>
      <c r="M116" s="22">
        <f t="shared" si="36"/>
        <v>379254</v>
      </c>
    </row>
    <row r="117" spans="1:13" x14ac:dyDescent="0.25">
      <c r="A117" s="35" t="s">
        <v>59</v>
      </c>
      <c r="B117" s="73">
        <v>6680</v>
      </c>
      <c r="C117" s="26">
        <v>2000</v>
      </c>
      <c r="D117" s="26"/>
      <c r="E117" s="27">
        <f t="shared" si="37"/>
        <v>2000</v>
      </c>
      <c r="F117" s="27"/>
      <c r="G117" s="27"/>
      <c r="H117" s="27"/>
      <c r="I117" s="37">
        <f t="shared" si="38"/>
        <v>0</v>
      </c>
      <c r="J117" s="37">
        <v>0</v>
      </c>
      <c r="K117" s="27">
        <v>0</v>
      </c>
      <c r="L117" s="28">
        <f t="shared" si="39"/>
        <v>0</v>
      </c>
      <c r="M117" s="22">
        <f t="shared" si="36"/>
        <v>8680</v>
      </c>
    </row>
    <row r="118" spans="1:13" x14ac:dyDescent="0.25">
      <c r="A118" s="35" t="s">
        <v>28</v>
      </c>
      <c r="B118" s="73">
        <v>112894</v>
      </c>
      <c r="C118" s="26">
        <v>60000</v>
      </c>
      <c r="D118" s="26"/>
      <c r="E118" s="27">
        <f t="shared" si="37"/>
        <v>60000</v>
      </c>
      <c r="F118" s="27"/>
      <c r="G118" s="27"/>
      <c r="H118" s="27"/>
      <c r="I118" s="37">
        <f t="shared" si="38"/>
        <v>0</v>
      </c>
      <c r="J118" s="37">
        <v>0</v>
      </c>
      <c r="K118" s="27">
        <v>0</v>
      </c>
      <c r="L118" s="28">
        <f t="shared" si="39"/>
        <v>0</v>
      </c>
      <c r="M118" s="22">
        <f t="shared" si="36"/>
        <v>172894</v>
      </c>
    </row>
    <row r="119" spans="1:13" x14ac:dyDescent="0.25">
      <c r="A119" s="35" t="s">
        <v>29</v>
      </c>
      <c r="B119" s="73">
        <v>309331</v>
      </c>
      <c r="C119" s="26">
        <v>17000</v>
      </c>
      <c r="D119" s="26"/>
      <c r="E119" s="27">
        <f t="shared" si="37"/>
        <v>17000</v>
      </c>
      <c r="F119" s="27"/>
      <c r="G119" s="27"/>
      <c r="H119" s="27"/>
      <c r="I119" s="37">
        <f t="shared" si="38"/>
        <v>0</v>
      </c>
      <c r="J119" s="37">
        <v>0</v>
      </c>
      <c r="K119" s="27">
        <v>0</v>
      </c>
      <c r="L119" s="28">
        <f t="shared" si="39"/>
        <v>0</v>
      </c>
      <c r="M119" s="22">
        <f t="shared" si="36"/>
        <v>326331</v>
      </c>
    </row>
    <row r="120" spans="1:13" x14ac:dyDescent="0.25">
      <c r="A120" s="35" t="s">
        <v>30</v>
      </c>
      <c r="B120" s="73">
        <f>115994-5000</f>
        <v>110994</v>
      </c>
      <c r="C120" s="26">
        <v>190000</v>
      </c>
      <c r="D120" s="27"/>
      <c r="E120" s="27">
        <f t="shared" si="37"/>
        <v>190000</v>
      </c>
      <c r="F120" s="27"/>
      <c r="G120" s="27"/>
      <c r="H120" s="27"/>
      <c r="I120" s="37">
        <f t="shared" si="38"/>
        <v>0</v>
      </c>
      <c r="J120" s="37">
        <v>248374</v>
      </c>
      <c r="K120" s="27">
        <v>50000</v>
      </c>
      <c r="L120" s="28">
        <f t="shared" si="39"/>
        <v>298374</v>
      </c>
      <c r="M120" s="22">
        <f t="shared" si="36"/>
        <v>599368</v>
      </c>
    </row>
    <row r="121" spans="1:13" x14ac:dyDescent="0.25">
      <c r="A121" s="35" t="s">
        <v>31</v>
      </c>
      <c r="B121" s="73">
        <v>32256</v>
      </c>
      <c r="C121" s="26">
        <v>590000</v>
      </c>
      <c r="D121" s="26">
        <f>35000+50000</f>
        <v>85000</v>
      </c>
      <c r="E121" s="27">
        <f t="shared" si="37"/>
        <v>675000</v>
      </c>
      <c r="F121" s="27">
        <f>221000+45000</f>
        <v>266000</v>
      </c>
      <c r="G121" s="37"/>
      <c r="H121" s="27">
        <v>70000</v>
      </c>
      <c r="I121" s="37">
        <f t="shared" si="38"/>
        <v>70000</v>
      </c>
      <c r="J121" s="37">
        <v>1650000</v>
      </c>
      <c r="K121" s="27">
        <v>50000</v>
      </c>
      <c r="L121" s="28">
        <f t="shared" si="39"/>
        <v>1700000</v>
      </c>
      <c r="M121" s="22">
        <f t="shared" si="36"/>
        <v>2743256</v>
      </c>
    </row>
    <row r="122" spans="1:13" x14ac:dyDescent="0.25">
      <c r="A122" s="35" t="s">
        <v>60</v>
      </c>
      <c r="B122" s="73">
        <f>199429-10000</f>
        <v>189429</v>
      </c>
      <c r="C122" s="26">
        <v>15000</v>
      </c>
      <c r="D122" s="26"/>
      <c r="E122" s="27">
        <f t="shared" si="37"/>
        <v>15000</v>
      </c>
      <c r="F122" s="27"/>
      <c r="G122" s="27"/>
      <c r="H122" s="27"/>
      <c r="I122" s="37">
        <f t="shared" si="38"/>
        <v>0</v>
      </c>
      <c r="J122" s="37">
        <v>0</v>
      </c>
      <c r="K122" s="27">
        <v>0</v>
      </c>
      <c r="L122" s="28">
        <f t="shared" si="39"/>
        <v>0</v>
      </c>
      <c r="M122" s="22">
        <f t="shared" si="36"/>
        <v>204429</v>
      </c>
    </row>
    <row r="123" spans="1:13" x14ac:dyDescent="0.25">
      <c r="A123" s="35" t="s">
        <v>33</v>
      </c>
      <c r="B123" s="73">
        <f>106598-3000</f>
        <v>103598</v>
      </c>
      <c r="C123" s="26">
        <v>15000</v>
      </c>
      <c r="D123" s="26"/>
      <c r="E123" s="27">
        <f t="shared" si="37"/>
        <v>15000</v>
      </c>
      <c r="F123" s="27"/>
      <c r="G123" s="27"/>
      <c r="H123" s="27"/>
      <c r="I123" s="37">
        <f t="shared" si="38"/>
        <v>0</v>
      </c>
      <c r="J123" s="37">
        <v>0</v>
      </c>
      <c r="K123" s="27">
        <v>30000</v>
      </c>
      <c r="L123" s="28">
        <f t="shared" si="39"/>
        <v>30000</v>
      </c>
      <c r="M123" s="22">
        <f t="shared" si="36"/>
        <v>148598</v>
      </c>
    </row>
    <row r="124" spans="1:13" x14ac:dyDescent="0.25">
      <c r="A124" s="35" t="s">
        <v>34</v>
      </c>
      <c r="B124" s="73">
        <v>79074</v>
      </c>
      <c r="C124" s="26">
        <v>90000</v>
      </c>
      <c r="D124" s="26"/>
      <c r="E124" s="27">
        <f t="shared" si="37"/>
        <v>90000</v>
      </c>
      <c r="F124" s="27"/>
      <c r="G124" s="27"/>
      <c r="H124" s="27">
        <v>480000</v>
      </c>
      <c r="I124" s="37">
        <f t="shared" si="38"/>
        <v>480000</v>
      </c>
      <c r="J124" s="37">
        <v>550000</v>
      </c>
      <c r="K124" s="27">
        <f>140000-90000</f>
        <v>50000</v>
      </c>
      <c r="L124" s="28">
        <f t="shared" si="39"/>
        <v>600000</v>
      </c>
      <c r="M124" s="22">
        <f t="shared" si="36"/>
        <v>1249074</v>
      </c>
    </row>
    <row r="125" spans="1:13" x14ac:dyDescent="0.25">
      <c r="A125" s="35" t="s">
        <v>62</v>
      </c>
      <c r="B125" s="73">
        <v>53644</v>
      </c>
      <c r="C125" s="26">
        <f>17000+3000</f>
        <v>20000</v>
      </c>
      <c r="D125" s="26"/>
      <c r="E125" s="27">
        <f t="shared" si="37"/>
        <v>20000</v>
      </c>
      <c r="F125" s="27"/>
      <c r="G125" s="27"/>
      <c r="H125" s="27">
        <v>20000</v>
      </c>
      <c r="I125" s="37">
        <f t="shared" si="38"/>
        <v>20000</v>
      </c>
      <c r="J125" s="37">
        <v>50000</v>
      </c>
      <c r="K125" s="27">
        <v>0</v>
      </c>
      <c r="L125" s="28">
        <f t="shared" si="39"/>
        <v>50000</v>
      </c>
      <c r="M125" s="22">
        <f t="shared" si="36"/>
        <v>143644</v>
      </c>
    </row>
    <row r="126" spans="1:13" x14ac:dyDescent="0.25">
      <c r="A126" s="35" t="s">
        <v>36</v>
      </c>
      <c r="B126" s="73">
        <v>85004</v>
      </c>
      <c r="C126" s="26">
        <v>16000</v>
      </c>
      <c r="D126" s="26"/>
      <c r="E126" s="27">
        <f t="shared" si="37"/>
        <v>16000</v>
      </c>
      <c r="F126" s="27"/>
      <c r="G126" s="27"/>
      <c r="H126" s="27"/>
      <c r="I126" s="37">
        <f t="shared" si="38"/>
        <v>0</v>
      </c>
      <c r="J126" s="37">
        <v>0</v>
      </c>
      <c r="K126" s="27">
        <v>0</v>
      </c>
      <c r="L126" s="28">
        <f t="shared" si="39"/>
        <v>0</v>
      </c>
      <c r="M126" s="22">
        <f t="shared" si="36"/>
        <v>101004</v>
      </c>
    </row>
    <row r="127" spans="1:13" x14ac:dyDescent="0.25">
      <c r="A127" s="35" t="s">
        <v>37</v>
      </c>
      <c r="B127" s="73">
        <v>54010</v>
      </c>
      <c r="C127" s="26">
        <f>180000+140000-34140</f>
        <v>285860</v>
      </c>
      <c r="D127" s="26">
        <v>93659</v>
      </c>
      <c r="E127" s="27">
        <f t="shared" si="37"/>
        <v>379519</v>
      </c>
      <c r="F127" s="27"/>
      <c r="G127" s="27"/>
      <c r="H127" s="27"/>
      <c r="I127" s="37">
        <f t="shared" si="38"/>
        <v>0</v>
      </c>
      <c r="J127" s="37">
        <v>800000</v>
      </c>
      <c r="K127" s="27">
        <v>110000</v>
      </c>
      <c r="L127" s="28">
        <f t="shared" si="39"/>
        <v>910000</v>
      </c>
      <c r="M127" s="22">
        <f t="shared" si="36"/>
        <v>1343529</v>
      </c>
    </row>
    <row r="128" spans="1:13" x14ac:dyDescent="0.25">
      <c r="A128" s="35" t="s">
        <v>38</v>
      </c>
      <c r="B128" s="73">
        <v>108137</v>
      </c>
      <c r="C128" s="26">
        <v>10000</v>
      </c>
      <c r="D128" s="26"/>
      <c r="E128" s="27">
        <f t="shared" si="37"/>
        <v>10000</v>
      </c>
      <c r="F128" s="36">
        <v>4000</v>
      </c>
      <c r="G128" s="43"/>
      <c r="H128" s="27"/>
      <c r="I128" s="37">
        <f t="shared" si="38"/>
        <v>0</v>
      </c>
      <c r="J128" s="37">
        <v>0</v>
      </c>
      <c r="K128" s="27">
        <v>0</v>
      </c>
      <c r="L128" s="28">
        <f t="shared" si="39"/>
        <v>0</v>
      </c>
      <c r="M128" s="22">
        <f t="shared" si="36"/>
        <v>122137</v>
      </c>
    </row>
    <row r="129" spans="1:13" x14ac:dyDescent="0.25">
      <c r="A129" s="35" t="s">
        <v>39</v>
      </c>
      <c r="B129" s="73">
        <v>95389</v>
      </c>
      <c r="C129" s="26">
        <f>50000+20000</f>
        <v>70000</v>
      </c>
      <c r="D129" s="26"/>
      <c r="E129" s="27">
        <f t="shared" si="37"/>
        <v>70000</v>
      </c>
      <c r="F129" s="27"/>
      <c r="G129" s="27"/>
      <c r="H129" s="27">
        <v>118306</v>
      </c>
      <c r="I129" s="37">
        <f t="shared" si="38"/>
        <v>118306</v>
      </c>
      <c r="J129" s="37">
        <v>2080000</v>
      </c>
      <c r="K129" s="27">
        <v>190000</v>
      </c>
      <c r="L129" s="28">
        <f t="shared" si="39"/>
        <v>2270000</v>
      </c>
      <c r="M129" s="22">
        <f t="shared" si="36"/>
        <v>2553695</v>
      </c>
    </row>
    <row r="130" spans="1:13" x14ac:dyDescent="0.25">
      <c r="A130" s="25" t="s">
        <v>40</v>
      </c>
      <c r="B130" s="73">
        <v>61530</v>
      </c>
      <c r="C130" s="26">
        <v>55000</v>
      </c>
      <c r="D130" s="26"/>
      <c r="E130" s="27">
        <f t="shared" si="37"/>
        <v>55000</v>
      </c>
      <c r="F130" s="27"/>
      <c r="G130" s="27"/>
      <c r="H130" s="27"/>
      <c r="I130" s="37">
        <f t="shared" si="38"/>
        <v>0</v>
      </c>
      <c r="J130" s="37">
        <v>1120224</v>
      </c>
      <c r="K130" s="27">
        <v>21626</v>
      </c>
      <c r="L130" s="28">
        <f t="shared" si="39"/>
        <v>1141850</v>
      </c>
      <c r="M130" s="22">
        <f t="shared" si="36"/>
        <v>1258380</v>
      </c>
    </row>
    <row r="131" spans="1:13" x14ac:dyDescent="0.25">
      <c r="A131" s="31" t="s">
        <v>63</v>
      </c>
      <c r="B131" s="32">
        <f t="shared" ref="B131:M131" si="40">SUM(B132)</f>
        <v>1905000</v>
      </c>
      <c r="C131" s="32">
        <f t="shared" si="40"/>
        <v>350000</v>
      </c>
      <c r="D131" s="32">
        <f t="shared" si="40"/>
        <v>0</v>
      </c>
      <c r="E131" s="32">
        <f t="shared" si="40"/>
        <v>350000</v>
      </c>
      <c r="F131" s="32">
        <f t="shared" si="40"/>
        <v>85671</v>
      </c>
      <c r="G131" s="32">
        <f t="shared" si="40"/>
        <v>10000</v>
      </c>
      <c r="H131" s="32">
        <f t="shared" si="40"/>
        <v>80000</v>
      </c>
      <c r="I131" s="32">
        <f t="shared" si="40"/>
        <v>90000</v>
      </c>
      <c r="J131" s="32">
        <f t="shared" si="40"/>
        <v>370000</v>
      </c>
      <c r="K131" s="32">
        <f t="shared" si="40"/>
        <v>0</v>
      </c>
      <c r="L131" s="32">
        <f t="shared" si="40"/>
        <v>370000</v>
      </c>
      <c r="M131" s="32">
        <f t="shared" si="40"/>
        <v>2800671</v>
      </c>
    </row>
    <row r="132" spans="1:13" x14ac:dyDescent="0.25">
      <c r="A132" s="30" t="s">
        <v>42</v>
      </c>
      <c r="B132" s="73">
        <v>1905000</v>
      </c>
      <c r="C132" s="26">
        <v>350000</v>
      </c>
      <c r="D132" s="27"/>
      <c r="E132" s="27">
        <f t="shared" ref="E132" si="41">SUM(C132:D132)</f>
        <v>350000</v>
      </c>
      <c r="F132" s="37">
        <f>80000+5671</f>
        <v>85671</v>
      </c>
      <c r="G132" s="37">
        <v>10000</v>
      </c>
      <c r="H132" s="37">
        <v>80000</v>
      </c>
      <c r="I132" s="37">
        <f t="shared" ref="I132" si="42">G132+H132</f>
        <v>90000</v>
      </c>
      <c r="J132" s="49">
        <f>300000+70000</f>
        <v>370000</v>
      </c>
      <c r="K132" s="27"/>
      <c r="L132" s="28">
        <f t="shared" ref="L132" si="43">J132+K132</f>
        <v>370000</v>
      </c>
      <c r="M132" s="44">
        <f>B132+E132+F132+I132+L132</f>
        <v>2800671</v>
      </c>
    </row>
    <row r="133" spans="1:13" x14ac:dyDescent="0.25">
      <c r="A133" s="31" t="s">
        <v>64</v>
      </c>
      <c r="B133" s="32">
        <f>SUM(B134:B136)</f>
        <v>6726330</v>
      </c>
      <c r="C133" s="32">
        <f t="shared" ref="C133:M133" si="44">SUM(C134:C136)</f>
        <v>384340</v>
      </c>
      <c r="D133" s="32">
        <f t="shared" si="44"/>
        <v>34000</v>
      </c>
      <c r="E133" s="32">
        <f t="shared" si="44"/>
        <v>418340</v>
      </c>
      <c r="F133" s="32">
        <f t="shared" si="44"/>
        <v>90000</v>
      </c>
      <c r="G133" s="32">
        <f t="shared" si="44"/>
        <v>0</v>
      </c>
      <c r="H133" s="32">
        <f t="shared" si="44"/>
        <v>0</v>
      </c>
      <c r="I133" s="32">
        <f t="shared" si="44"/>
        <v>0</v>
      </c>
      <c r="J133" s="32">
        <f t="shared" si="44"/>
        <v>0</v>
      </c>
      <c r="K133" s="32">
        <f t="shared" si="44"/>
        <v>0</v>
      </c>
      <c r="L133" s="32">
        <f t="shared" si="44"/>
        <v>0</v>
      </c>
      <c r="M133" s="32">
        <f t="shared" si="44"/>
        <v>7234670</v>
      </c>
    </row>
    <row r="134" spans="1:13" x14ac:dyDescent="0.25">
      <c r="A134" s="25" t="s">
        <v>65</v>
      </c>
      <c r="B134" s="73">
        <v>221690</v>
      </c>
      <c r="C134" s="26">
        <v>53000</v>
      </c>
      <c r="D134" s="26">
        <v>34000</v>
      </c>
      <c r="E134" s="27">
        <f t="shared" ref="E134:E136" si="45">SUM(C134:D134)</f>
        <v>87000</v>
      </c>
      <c r="F134" s="37">
        <f>8500+5000</f>
        <v>13500</v>
      </c>
      <c r="G134" s="37"/>
      <c r="H134" s="27"/>
      <c r="I134" s="37">
        <f t="shared" ref="I134:I136" si="46">G134+H134</f>
        <v>0</v>
      </c>
      <c r="J134" s="27"/>
      <c r="K134" s="27"/>
      <c r="L134" s="28">
        <f t="shared" ref="L134:L136" si="47">J134+K134</f>
        <v>0</v>
      </c>
      <c r="M134" s="22">
        <f>B134+E134+F134+I134+L134</f>
        <v>322190</v>
      </c>
    </row>
    <row r="135" spans="1:13" x14ac:dyDescent="0.25">
      <c r="A135" s="25" t="s">
        <v>45</v>
      </c>
      <c r="B135" s="73">
        <f>5283187-15000</f>
        <v>5268187</v>
      </c>
      <c r="C135" s="26">
        <f>193237+40000</f>
        <v>233237</v>
      </c>
      <c r="D135" s="26"/>
      <c r="E135" s="27">
        <f t="shared" si="45"/>
        <v>233237</v>
      </c>
      <c r="F135" s="37">
        <f>46500+10000</f>
        <v>56500</v>
      </c>
      <c r="G135" s="37"/>
      <c r="H135" s="27"/>
      <c r="I135" s="37">
        <f t="shared" si="46"/>
        <v>0</v>
      </c>
      <c r="J135" s="50"/>
      <c r="K135" s="27"/>
      <c r="L135" s="28">
        <f t="shared" si="47"/>
        <v>0</v>
      </c>
      <c r="M135" s="22">
        <f>B135+E135+F135+I135+L135</f>
        <v>5557924</v>
      </c>
    </row>
    <row r="136" spans="1:13" x14ac:dyDescent="0.25">
      <c r="A136" s="25" t="s">
        <v>66</v>
      </c>
      <c r="B136" s="73">
        <f>1249469-13016</f>
        <v>1236453</v>
      </c>
      <c r="C136" s="26">
        <f>57078+41025</f>
        <v>98103</v>
      </c>
      <c r="D136" s="26"/>
      <c r="E136" s="27">
        <f t="shared" si="45"/>
        <v>98103</v>
      </c>
      <c r="F136" s="37">
        <f>15000+5000</f>
        <v>20000</v>
      </c>
      <c r="G136" s="37"/>
      <c r="H136" s="27"/>
      <c r="I136" s="37">
        <f t="shared" si="46"/>
        <v>0</v>
      </c>
      <c r="J136" s="38"/>
      <c r="K136" s="27"/>
      <c r="L136" s="28">
        <f t="shared" si="47"/>
        <v>0</v>
      </c>
      <c r="M136" s="22">
        <f>B136+E136+F136+I136+L136</f>
        <v>1354556</v>
      </c>
    </row>
    <row r="137" spans="1:13" ht="21" customHeight="1" x14ac:dyDescent="0.25"/>
    <row r="138" spans="1:13" ht="21" customHeight="1" x14ac:dyDescent="0.25"/>
  </sheetData>
  <mergeCells count="54">
    <mergeCell ref="D19:E19"/>
    <mergeCell ref="C110:D110"/>
    <mergeCell ref="G110:H110"/>
    <mergeCell ref="J110:K110"/>
    <mergeCell ref="C52:D52"/>
    <mergeCell ref="G52:H52"/>
    <mergeCell ref="J52:K52"/>
    <mergeCell ref="C81:D81"/>
    <mergeCell ref="G81:H81"/>
    <mergeCell ref="J81:K81"/>
    <mergeCell ref="C21:D21"/>
    <mergeCell ref="J21:K21"/>
    <mergeCell ref="G21:H21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10:C10"/>
    <mergeCell ref="D10:E10"/>
    <mergeCell ref="F10:G10"/>
    <mergeCell ref="H10:I10"/>
    <mergeCell ref="A3:L3"/>
    <mergeCell ref="A4:L4"/>
    <mergeCell ref="A5:L5"/>
    <mergeCell ref="A6:L6"/>
    <mergeCell ref="A9:I9"/>
  </mergeCells>
  <pageMargins left="0" right="0" top="0" bottom="0" header="0.3" footer="0.3"/>
  <pageSetup scale="75" fitToHeight="0" orientation="landscape" r:id="rId1"/>
  <ignoredErrors>
    <ignoredError sqref="E57:E72 E77:E78 E86:E101 E105 E115:E130 E132 E134 E26:E41" formulaRange="1"/>
    <ignoredError sqref="E73:E76" formula="1" formulaRange="1"/>
    <ignoredError sqref="I104 I131 I133 L131:M131 L133:M133 I102 L102:M104 L73:M75 L42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Buxheti 2024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Ramadan Kadiri</dc:creator>
  <cp:lastModifiedBy>Ekrem Bytyqi</cp:lastModifiedBy>
  <cp:lastPrinted>2023-08-30T06:48:03Z</cp:lastPrinted>
  <dcterms:created xsi:type="dcterms:W3CDTF">2022-08-19T12:31:47Z</dcterms:created>
  <dcterms:modified xsi:type="dcterms:W3CDTF">2023-08-30T06:51:41Z</dcterms:modified>
</cp:coreProperties>
</file>